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ThisWorkbook" defaultThemeVersion="124226"/>
  <bookViews>
    <workbookView xWindow="8280" yWindow="510" windowWidth="6900" windowHeight="7470" tabRatio="969" activeTab="4"/>
  </bookViews>
  <sheets>
    <sheet name="TEN HOC PHAN HKI" sheetId="50" r:id="rId1"/>
    <sheet name="LOP-MON" sheetId="49" state="hidden" r:id="rId2"/>
    <sheet name="Hướng dẫn" sheetId="52" r:id="rId3"/>
    <sheet name="DS LOP HKI" sheetId="34" r:id="rId4"/>
    <sheet name="HKI" sheetId="1" r:id="rId5"/>
    <sheet name="LT01" sheetId="36" r:id="rId6"/>
    <sheet name="LT02" sheetId="37" r:id="rId7"/>
    <sheet name="LT03" sheetId="38" r:id="rId8"/>
    <sheet name="LT04" sheetId="39" r:id="rId9"/>
    <sheet name="LT05" sheetId="40" r:id="rId10"/>
    <sheet name="LT06" sheetId="41" r:id="rId11"/>
    <sheet name="LT07" sheetId="42" r:id="rId12"/>
    <sheet name="DO AN" sheetId="65" r:id="rId13"/>
    <sheet name="DO AN 2" sheetId="67" r:id="rId14"/>
    <sheet name="TH01" sheetId="53" r:id="rId15"/>
    <sheet name="TH02" sheetId="55" r:id="rId16"/>
    <sheet name="TH03" sheetId="64" r:id="rId17"/>
    <sheet name="TK NỢ HP HKI" sheetId="51" r:id="rId18"/>
  </sheets>
  <externalReferences>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s>
  <definedNames>
    <definedName name="\0" localSheetId="13">'[1]PNT-QUOT-#3'!#REF!</definedName>
    <definedName name="\0">'[1]PNT-QUOT-#3'!#REF!</definedName>
    <definedName name="\d" localSheetId="13">'[2]??-BLDG'!#REF!</definedName>
    <definedName name="\d">'[2]??-BLDG'!#REF!</definedName>
    <definedName name="\e" localSheetId="13">'[2]??-BLDG'!#REF!</definedName>
    <definedName name="\e">'[2]??-BLDG'!#REF!</definedName>
    <definedName name="\f" localSheetId="13">'[2]??-BLDG'!#REF!</definedName>
    <definedName name="\f">'[2]??-BLDG'!#REF!</definedName>
    <definedName name="\g" localSheetId="13">'[2]??-BLDG'!#REF!</definedName>
    <definedName name="\g">'[2]??-BLDG'!#REF!</definedName>
    <definedName name="\h" localSheetId="13">'[2]??-BLDG'!#REF!</definedName>
    <definedName name="\h">'[2]??-BLDG'!#REF!</definedName>
    <definedName name="\i" localSheetId="13">'[2]??-BLDG'!#REF!</definedName>
    <definedName name="\i">'[2]??-BLDG'!#REF!</definedName>
    <definedName name="\j" localSheetId="13">'[2]??-BLDG'!#REF!</definedName>
    <definedName name="\j">'[2]??-BLDG'!#REF!</definedName>
    <definedName name="\k" localSheetId="13">'[2]??-BLDG'!#REF!</definedName>
    <definedName name="\k">'[2]??-BLDG'!#REF!</definedName>
    <definedName name="\l" localSheetId="13">'[2]??-BLDG'!#REF!</definedName>
    <definedName name="\l">'[2]??-BLDG'!#REF!</definedName>
    <definedName name="\m" localSheetId="13">'[2]??-BLDG'!#REF!</definedName>
    <definedName name="\m">'[2]??-BLDG'!#REF!</definedName>
    <definedName name="\n" localSheetId="13">'[2]??-BLDG'!#REF!</definedName>
    <definedName name="\n">'[2]??-BLDG'!#REF!</definedName>
    <definedName name="\o" localSheetId="13">'[2]??-BLDG'!#REF!</definedName>
    <definedName name="\o">'[2]??-BLDG'!#REF!</definedName>
    <definedName name="\z" localSheetId="13">'[1]COAT&amp;WRAP-QIOT-#3'!#REF!</definedName>
    <definedName name="\z">'[1]COAT&amp;WRAP-QIOT-#3'!#REF!</definedName>
    <definedName name="_1">#N/A</definedName>
    <definedName name="_1000A01">#N/A</definedName>
    <definedName name="_2">#N/A</definedName>
    <definedName name="_A65700" localSheetId="13">'[3]MTO REV.2(ARMOR)'!#REF!</definedName>
    <definedName name="_A65700">'[3]MTO REV.2(ARMOR)'!#REF!</definedName>
    <definedName name="_A65800" localSheetId="13">'[3]MTO REV.2(ARMOR)'!#REF!</definedName>
    <definedName name="_A65800">'[3]MTO REV.2(ARMOR)'!#REF!</definedName>
    <definedName name="_A66000" localSheetId="13">'[3]MTO REV.2(ARMOR)'!#REF!</definedName>
    <definedName name="_A66000">'[3]MTO REV.2(ARMOR)'!#REF!</definedName>
    <definedName name="_A67000" localSheetId="13">'[3]MTO REV.2(ARMOR)'!#REF!</definedName>
    <definedName name="_A67000">'[3]MTO REV.2(ARMOR)'!#REF!</definedName>
    <definedName name="_A68000" localSheetId="13">'[3]MTO REV.2(ARMOR)'!#REF!</definedName>
    <definedName name="_A68000">'[3]MTO REV.2(ARMOR)'!#REF!</definedName>
    <definedName name="_A70000" localSheetId="13">'[3]MTO REV.2(ARMOR)'!#REF!</definedName>
    <definedName name="_A70000">'[3]MTO REV.2(ARMOR)'!#REF!</definedName>
    <definedName name="_A75000" localSheetId="13">'[3]MTO REV.2(ARMOR)'!#REF!</definedName>
    <definedName name="_A75000">'[3]MTO REV.2(ARMOR)'!#REF!</definedName>
    <definedName name="_A85000" localSheetId="13">'[3]MTO REV.2(ARMOR)'!#REF!</definedName>
    <definedName name="_A85000">'[3]MTO REV.2(ARMOR)'!#REF!</definedName>
    <definedName name="_CON1">#REF!</definedName>
    <definedName name="_CON2">#REF!</definedName>
    <definedName name="_Fill" hidden="1">#REF!</definedName>
    <definedName name="_xlnm._FilterDatabase" localSheetId="3" hidden="1">'DS LOP HKI'!$F$1:$F$951</definedName>
    <definedName name="_xlnm._FilterDatabase" localSheetId="5" hidden="1">'LT01'!$A$9:$N$10</definedName>
    <definedName name="_xlnm._FilterDatabase" localSheetId="6" hidden="1">'LT02'!$A$9:$N$10</definedName>
    <definedName name="_Key1" localSheetId="13" hidden="1">#REF!</definedName>
    <definedName name="_Key1" hidden="1">#REF!</definedName>
    <definedName name="_Key2" localSheetId="13" hidden="1">#REF!</definedName>
    <definedName name="_Key2" hidden="1">#REF!</definedName>
    <definedName name="_NET2">#REF!</definedName>
    <definedName name="_Order1" hidden="1">255</definedName>
    <definedName name="_Order2" hidden="1">255</definedName>
    <definedName name="_Sort" localSheetId="13" hidden="1">#REF!</definedName>
    <definedName name="_Sort" hidden="1">#REF!</definedName>
    <definedName name="A" localSheetId="13">'[1]PNT-QUOT-#3'!#REF!</definedName>
    <definedName name="A">'[1]PNT-QUOT-#3'!#REF!</definedName>
    <definedName name="A01_">#N/A</definedName>
    <definedName name="A01AC">#N/A</definedName>
    <definedName name="A01CAT">#N/A</definedName>
    <definedName name="A01CODE">#N/A</definedName>
    <definedName name="A01DATA">#N/A</definedName>
    <definedName name="A01MI">#N/A</definedName>
    <definedName name="A01TO">#N/A</definedName>
    <definedName name="A60000." localSheetId="13">#REF!</definedName>
    <definedName name="A60000.">#REF!</definedName>
    <definedName name="AA">#REF!</definedName>
    <definedName name="AAA" localSheetId="13">'[4]MTL$-INTER'!#REF!</definedName>
    <definedName name="AAA">'[4]MTL$-INTER'!#REF!</definedName>
    <definedName name="All_Item">#REF!</definedName>
    <definedName name="ALPIN">#N/A</definedName>
    <definedName name="ALPJYOU">#N/A</definedName>
    <definedName name="ALPTOI">#N/A</definedName>
    <definedName name="B" localSheetId="13">'[1]PNT-QUOT-#3'!#REF!</definedName>
    <definedName name="B">'[1]PNT-QUOT-#3'!#REF!</definedName>
    <definedName name="BB">#REF!</definedName>
    <definedName name="BOQ">#REF!</definedName>
    <definedName name="BVCISUMMARY">#REF!</definedName>
    <definedName name="CABLE2">'[5]MTO REV.0'!$A$1:$Q$570</definedName>
    <definedName name="Category_All">#REF!</definedName>
    <definedName name="CATIN">#N/A</definedName>
    <definedName name="CATJYOU">#N/A</definedName>
    <definedName name="CATREC">#N/A</definedName>
    <definedName name="CATSYU">#N/A</definedName>
    <definedName name="COAT" localSheetId="13">'[1]PNT-QUOT-#3'!#REF!</definedName>
    <definedName name="COAT">'[1]PNT-QUOT-#3'!#REF!</definedName>
    <definedName name="COMMON">#REF!</definedName>
    <definedName name="CON_EQP_COS">#REF!</definedName>
    <definedName name="CON_EQP_COST">#REF!</definedName>
    <definedName name="CONST_EQ">#REF!</definedName>
    <definedName name="COVER">#REF!</definedName>
    <definedName name="_xlnm.Criteria" localSheetId="13">[6]SILICATE!#REF!</definedName>
    <definedName name="_xlnm.Criteria">[6]SILICATE!#REF!</definedName>
    <definedName name="CRITINST">#REF!</definedName>
    <definedName name="CRITPURC">#REF!</definedName>
    <definedName name="CS_10">#REF!</definedName>
    <definedName name="CS_100">#REF!</definedName>
    <definedName name="CS_10S">#REF!</definedName>
    <definedName name="CS_120">#REF!</definedName>
    <definedName name="CS_140">#REF!</definedName>
    <definedName name="CS_160">#REF!</definedName>
    <definedName name="CS_20">#REF!</definedName>
    <definedName name="CS_30">#REF!</definedName>
    <definedName name="CS_40">#REF!</definedName>
    <definedName name="CS_40S">#REF!</definedName>
    <definedName name="CS_5S">#REF!</definedName>
    <definedName name="CS_60">#REF!</definedName>
    <definedName name="CS_80">#REF!</definedName>
    <definedName name="CS_80S">#REF!</definedName>
    <definedName name="CS_STD">#REF!</definedName>
    <definedName name="CS_XS">#REF!</definedName>
    <definedName name="CS_XXS">#REF!</definedName>
    <definedName name="CURRENCY">#REF!</definedName>
    <definedName name="D_7101A_B">#REF!</definedName>
    <definedName name="danhsach">#REF!</definedName>
    <definedName name="_xlnm.Database" localSheetId="13">#REF!</definedName>
    <definedName name="_xlnm.Database">#REF!</definedName>
    <definedName name="DataFilter" localSheetId="13">[7]!DataFilter</definedName>
    <definedName name="DataFilter">[7]!DataFilter</definedName>
    <definedName name="DataSort" localSheetId="13">[7]!DataSort</definedName>
    <definedName name="DataSort">[7]!DataSort</definedName>
    <definedName name="DSUMDATA">#REF!</definedName>
    <definedName name="End_1">#REF!</definedName>
    <definedName name="End_10">#REF!</definedName>
    <definedName name="End_11">#REF!</definedName>
    <definedName name="End_12">#REF!</definedName>
    <definedName name="End_13">#REF!</definedName>
    <definedName name="End_2">#REF!</definedName>
    <definedName name="End_3">#REF!</definedName>
    <definedName name="End_4">#REF!</definedName>
    <definedName name="End_5">#REF!</definedName>
    <definedName name="End_6">#REF!</definedName>
    <definedName name="End_7">#REF!</definedName>
    <definedName name="End_8">#REF!</definedName>
    <definedName name="End_9">#REF!</definedName>
    <definedName name="_xlnm.Extract" localSheetId="13">[6]SILICATE!#REF!</definedName>
    <definedName name="_xlnm.Extract">[6]SILICATE!#REF!</definedName>
    <definedName name="FACTOR">#REF!</definedName>
    <definedName name="FP" localSheetId="13">'[1]COAT&amp;WRAP-QIOT-#3'!#REF!</definedName>
    <definedName name="FP">'[1]COAT&amp;WRAP-QIOT-#3'!#REF!</definedName>
    <definedName name="GoBack" localSheetId="13">[7]Sheet1!GoBack</definedName>
    <definedName name="GoBack">[7]Sheet1!GoBack</definedName>
    <definedName name="GPT_GROUNDING_PT" localSheetId="13">'[8]NEW-PANEL'!#REF!</definedName>
    <definedName name="GPT_GROUNDING_PT">'[8]NEW-PANEL'!#REF!</definedName>
    <definedName name="HOME_MANP">#REF!</definedName>
    <definedName name="HOMEOFFICE_COST">#REF!</definedName>
    <definedName name="HTML_CodePage" hidden="1">950</definedName>
    <definedName name="HTML_Control" localSheetId="15" hidden="1">{"'Sheet1'!$L$16"}</definedName>
    <definedName name="HTML_Control" localSheetId="16" hidden="1">{"'Sheet1'!$L$16"}</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IDLAB_COST">#REF!</definedName>
    <definedName name="IND_LAB">#REF!</definedName>
    <definedName name="INDMANP">#REF!</definedName>
    <definedName name="IO" localSheetId="13">'[1]COAT&amp;WRAP-QIOT-#3'!#REF!</definedName>
    <definedName name="IO">'[1]COAT&amp;WRAP-QIOT-#3'!#REF!</definedName>
    <definedName name="MAJ_CON_EQP">#REF!</definedName>
    <definedName name="MAT" localSheetId="13">'[1]COAT&amp;WRAP-QIOT-#3'!#REF!</definedName>
    <definedName name="MAT">'[1]COAT&amp;WRAP-QIOT-#3'!#REF!</definedName>
    <definedName name="MF" localSheetId="13">'[1]COAT&amp;WRAP-QIOT-#3'!#REF!</definedName>
    <definedName name="MF">'[1]COAT&amp;WRAP-QIOT-#3'!#REF!</definedName>
    <definedName name="MG_A">#REF!</definedName>
    <definedName name="NET">#REF!</definedName>
    <definedName name="NET_1">#REF!</definedName>
    <definedName name="NET_ANA">#REF!</definedName>
    <definedName name="NET_ANA_1">#REF!</definedName>
    <definedName name="NET_ANA_2">#REF!</definedName>
    <definedName name="OTHER_PANEL" localSheetId="13">'[8]NEW-PANEL'!#REF!</definedName>
    <definedName name="OTHER_PANEL">'[8]NEW-PANEL'!#REF!</definedName>
    <definedName name="P" localSheetId="13">'[1]PNT-QUOT-#3'!#REF!</definedName>
    <definedName name="P">'[1]PNT-QUOT-#3'!#REF!</definedName>
    <definedName name="PEJM" localSheetId="13">'[1]COAT&amp;WRAP-QIOT-#3'!#REF!</definedName>
    <definedName name="PEJM">'[1]COAT&amp;WRAP-QIOT-#3'!#REF!</definedName>
    <definedName name="PF" localSheetId="13">'[1]PNT-QUOT-#3'!#REF!</definedName>
    <definedName name="PF">'[1]PNT-QUOT-#3'!#REF!</definedName>
    <definedName name="PL_指示燈___P.B.___REST_P.B._壓扣開關" localSheetId="13">'[8]NEW-PANEL'!#REF!</definedName>
    <definedName name="PL_指示燈___P.B.___REST_P.B._壓扣開關">'[8]NEW-PANEL'!#REF!</definedName>
    <definedName name="PM">[9]IBASE!$AH$16:$AV$110</definedName>
    <definedName name="PRICE">#REF!</definedName>
    <definedName name="PRICE1">#REF!</definedName>
    <definedName name="_xlnm.Print_Area" localSheetId="13">#REF!</definedName>
    <definedName name="_xlnm.Print_Area">#REF!</definedName>
    <definedName name="Print_Area_MI">[10]ESTI.!$A$1:$U$52</definedName>
    <definedName name="_xlnm.Print_Titles" localSheetId="12">'DO AN'!$8:$10</definedName>
    <definedName name="_xlnm.Print_Titles" localSheetId="13">'DO AN 2'!$8:$10</definedName>
    <definedName name="_xlnm.Print_Titles" localSheetId="5">'LT01'!$8:$10</definedName>
    <definedName name="_xlnm.Print_Titles" localSheetId="14">'TH01'!$8:$10</definedName>
    <definedName name="_xlnm.Print_Titles" localSheetId="15">'TH02'!$8:$10</definedName>
    <definedName name="_xlnm.Print_Titles" localSheetId="16">'TH03'!$8:$10</definedName>
    <definedName name="_xlnm.Print_Titles">#REF!</definedName>
    <definedName name="Print_Titles_MI">#REF!</definedName>
    <definedName name="PRINTA">#REF!</definedName>
    <definedName name="PRINTB">#REF!</definedName>
    <definedName name="PRINTC">#REF!</definedName>
    <definedName name="PROPOSAL">#REF!</definedName>
    <definedName name="RECOUT">#N/A</definedName>
    <definedName name="RFP003A">#REF!</definedName>
    <definedName name="RFP003B">#REF!</definedName>
    <definedName name="RFP003C">#REF!</definedName>
    <definedName name="RFP003D">#REF!</definedName>
    <definedName name="RFP003E">#REF!</definedName>
    <definedName name="RFP003F">#REF!</definedName>
    <definedName name="RT" localSheetId="13">'[1]COAT&amp;WRAP-QIOT-#3'!#REF!</definedName>
    <definedName name="RT">'[1]COAT&amp;WRAP-QIOT-#3'!#REF!</definedName>
    <definedName name="SB">[9]IBASE!$AH$7:$AL$14</definedName>
    <definedName name="SCH">#REF!</definedName>
    <definedName name="SIZE">#REF!</definedName>
    <definedName name="SORT">#REF!</definedName>
    <definedName name="SORT_AREA">'[10]DI-ESTI'!$A$8:$R$489</definedName>
    <definedName name="SP" localSheetId="13">'[1]PNT-QUOT-#3'!#REF!</definedName>
    <definedName name="SP">'[1]PNT-QUOT-#3'!#REF!</definedName>
    <definedName name="SPEC">#REF!</definedName>
    <definedName name="SPECSUMMARY">#REF!</definedName>
    <definedName name="Start_1">#REF!</definedName>
    <definedName name="Start_10">#REF!</definedName>
    <definedName name="Start_11">#REF!</definedName>
    <definedName name="Start_12">#REF!</definedName>
    <definedName name="Start_13">#REF!</definedName>
    <definedName name="Start_2">#REF!</definedName>
    <definedName name="Start_3">#REF!</definedName>
    <definedName name="Start_4">#REF!</definedName>
    <definedName name="Start_5">#REF!</definedName>
    <definedName name="Start_6">#REF!</definedName>
    <definedName name="Start_7">#REF!</definedName>
    <definedName name="Start_8">#REF!</definedName>
    <definedName name="Start_9">#REF!</definedName>
    <definedName name="SUMMARY">#REF!</definedName>
    <definedName name="THI">#REF!</definedName>
    <definedName name="THK" localSheetId="13">'[1]COAT&amp;WRAP-QIOT-#3'!#REF!</definedName>
    <definedName name="THK">'[1]COAT&amp;WRAP-QIOT-#3'!#REF!</definedName>
    <definedName name="TITAN">#REF!</definedName>
    <definedName name="TPLRP">#REF!</definedName>
    <definedName name="TRADE2">#REF!</definedName>
    <definedName name="TRANSFORMER" localSheetId="13">'[8]NEW-PANEL'!#REF!</definedName>
    <definedName name="TRANSFORMER">'[8]NEW-PANEL'!#REF!</definedName>
    <definedName name="VARIINST">#REF!</definedName>
    <definedName name="VARIPURC">#REF!</definedName>
    <definedName name="W">#REF!</definedName>
    <definedName name="X">#REF!</definedName>
    <definedName name="ZYX">#REF!</definedName>
    <definedName name="ZZZ">#REF!</definedName>
  </definedNames>
  <calcPr calcId="145621"/>
</workbook>
</file>

<file path=xl/calcChain.xml><?xml version="1.0" encoding="utf-8"?>
<calcChain xmlns="http://schemas.openxmlformats.org/spreadsheetml/2006/main">
  <c r="F89" i="50" l="1"/>
  <c r="DO12" i="1"/>
  <c r="DP12" i="1"/>
  <c r="DQ12" i="1"/>
  <c r="DR12" i="1"/>
  <c r="DS12" i="1"/>
  <c r="DO13" i="1"/>
  <c r="DP13" i="1"/>
  <c r="DQ13" i="1"/>
  <c r="DR13" i="1"/>
  <c r="DS13" i="1"/>
  <c r="DO14" i="1"/>
  <c r="DP14" i="1"/>
  <c r="DQ14" i="1"/>
  <c r="DR14" i="1"/>
  <c r="DS14" i="1"/>
  <c r="DO15" i="1"/>
  <c r="DP15" i="1"/>
  <c r="DQ15" i="1"/>
  <c r="DR15" i="1"/>
  <c r="DS15" i="1"/>
  <c r="DO16" i="1"/>
  <c r="DP16" i="1"/>
  <c r="DQ16" i="1"/>
  <c r="DR16" i="1"/>
  <c r="DS16" i="1"/>
  <c r="DO17" i="1"/>
  <c r="DP17" i="1"/>
  <c r="DQ17" i="1"/>
  <c r="DR17" i="1"/>
  <c r="DS17" i="1"/>
  <c r="DO18" i="1"/>
  <c r="DP18" i="1"/>
  <c r="DQ18" i="1"/>
  <c r="DR18" i="1"/>
  <c r="DS18" i="1"/>
  <c r="DO19" i="1"/>
  <c r="DP19" i="1"/>
  <c r="DQ19" i="1"/>
  <c r="DR19" i="1"/>
  <c r="DS19" i="1"/>
  <c r="DO20" i="1"/>
  <c r="DP20" i="1"/>
  <c r="DQ20" i="1"/>
  <c r="DR20" i="1"/>
  <c r="DS20" i="1"/>
  <c r="DO21" i="1"/>
  <c r="DP21" i="1"/>
  <c r="DQ21" i="1"/>
  <c r="DR21" i="1"/>
  <c r="DS21" i="1"/>
  <c r="DO22" i="1"/>
  <c r="DP22" i="1"/>
  <c r="DQ22" i="1"/>
  <c r="DR22" i="1"/>
  <c r="DS22" i="1"/>
  <c r="DO23" i="1"/>
  <c r="DP23" i="1"/>
  <c r="DQ23" i="1"/>
  <c r="DR23" i="1"/>
  <c r="DS23" i="1"/>
  <c r="DO24" i="1"/>
  <c r="DP24" i="1"/>
  <c r="DQ24" i="1"/>
  <c r="DR24" i="1"/>
  <c r="DS24" i="1"/>
  <c r="DO25" i="1"/>
  <c r="DP25" i="1"/>
  <c r="DQ25" i="1"/>
  <c r="DR25" i="1"/>
  <c r="DS25" i="1"/>
  <c r="DO26" i="1"/>
  <c r="DP26" i="1"/>
  <c r="DQ26" i="1"/>
  <c r="DR26" i="1"/>
  <c r="DS26" i="1"/>
  <c r="DO27" i="1"/>
  <c r="DP27" i="1"/>
  <c r="DQ27" i="1"/>
  <c r="DR27" i="1"/>
  <c r="DS27" i="1"/>
  <c r="DO28" i="1"/>
  <c r="DP28" i="1"/>
  <c r="DQ28" i="1"/>
  <c r="DR28" i="1"/>
  <c r="DS28" i="1"/>
  <c r="DO29" i="1"/>
  <c r="DP29" i="1"/>
  <c r="DQ29" i="1"/>
  <c r="DR29" i="1"/>
  <c r="DS29" i="1"/>
  <c r="DO30" i="1"/>
  <c r="DP30" i="1"/>
  <c r="DQ30" i="1"/>
  <c r="DR30" i="1"/>
  <c r="DS30" i="1"/>
  <c r="DO31" i="1"/>
  <c r="DP31" i="1"/>
  <c r="DQ31" i="1"/>
  <c r="DR31" i="1"/>
  <c r="DS31" i="1"/>
  <c r="DO32" i="1"/>
  <c r="DP32" i="1"/>
  <c r="DQ32" i="1"/>
  <c r="DR32" i="1"/>
  <c r="DS32" i="1"/>
  <c r="DO33" i="1"/>
  <c r="DP33" i="1"/>
  <c r="DQ33" i="1"/>
  <c r="DR33" i="1"/>
  <c r="DS33" i="1"/>
  <c r="DO34" i="1"/>
  <c r="DP34" i="1"/>
  <c r="DQ34" i="1"/>
  <c r="DR34" i="1"/>
  <c r="DS34" i="1"/>
  <c r="DO35" i="1"/>
  <c r="DP35" i="1"/>
  <c r="DQ35" i="1"/>
  <c r="DR35" i="1"/>
  <c r="DS35" i="1"/>
  <c r="DO36" i="1"/>
  <c r="DP36" i="1"/>
  <c r="DQ36" i="1"/>
  <c r="DR36" i="1"/>
  <c r="DS36" i="1"/>
  <c r="DO37" i="1"/>
  <c r="DP37" i="1"/>
  <c r="DQ37" i="1"/>
  <c r="DR37" i="1"/>
  <c r="DS37" i="1"/>
  <c r="DO38" i="1"/>
  <c r="DP38" i="1"/>
  <c r="DQ38" i="1"/>
  <c r="DR38" i="1"/>
  <c r="DS38" i="1"/>
  <c r="DO39" i="1"/>
  <c r="DP39" i="1"/>
  <c r="DQ39" i="1"/>
  <c r="DR39" i="1"/>
  <c r="DS39" i="1"/>
  <c r="DO40" i="1"/>
  <c r="DP40" i="1"/>
  <c r="DQ40" i="1"/>
  <c r="DR40" i="1"/>
  <c r="DS40" i="1"/>
  <c r="DO41" i="1"/>
  <c r="DP41" i="1"/>
  <c r="DQ41" i="1"/>
  <c r="DR41" i="1"/>
  <c r="DS41" i="1"/>
  <c r="DO42" i="1"/>
  <c r="DP42" i="1"/>
  <c r="DQ42" i="1"/>
  <c r="DR42" i="1"/>
  <c r="DS42" i="1"/>
  <c r="DO43" i="1"/>
  <c r="DP43" i="1"/>
  <c r="DQ43" i="1"/>
  <c r="DR43" i="1"/>
  <c r="DS43" i="1"/>
  <c r="DO44" i="1"/>
  <c r="DP44" i="1"/>
  <c r="DQ44" i="1"/>
  <c r="DR44" i="1"/>
  <c r="DS44" i="1"/>
  <c r="DO45" i="1"/>
  <c r="DP45" i="1"/>
  <c r="DQ45" i="1"/>
  <c r="DR45" i="1"/>
  <c r="DS45" i="1"/>
  <c r="DO46" i="1"/>
  <c r="DP46" i="1"/>
  <c r="DQ46" i="1"/>
  <c r="DR46" i="1"/>
  <c r="DS46" i="1"/>
  <c r="DO47" i="1"/>
  <c r="DP47" i="1"/>
  <c r="DQ47" i="1"/>
  <c r="DR47" i="1"/>
  <c r="DS47" i="1"/>
  <c r="DO48" i="1"/>
  <c r="DP48" i="1"/>
  <c r="DQ48" i="1"/>
  <c r="DR48" i="1"/>
  <c r="DS48" i="1"/>
  <c r="DO49" i="1"/>
  <c r="DP49" i="1"/>
  <c r="DQ49" i="1"/>
  <c r="DR49" i="1"/>
  <c r="DS49" i="1"/>
  <c r="DO50" i="1"/>
  <c r="DP50" i="1"/>
  <c r="DQ50" i="1"/>
  <c r="DR50" i="1"/>
  <c r="DS50" i="1"/>
  <c r="DO51" i="1"/>
  <c r="DP51" i="1"/>
  <c r="DQ51" i="1"/>
  <c r="DR51" i="1"/>
  <c r="DS51" i="1"/>
  <c r="DO52" i="1"/>
  <c r="DP52" i="1"/>
  <c r="DQ52" i="1"/>
  <c r="DR52" i="1"/>
  <c r="DS52" i="1"/>
  <c r="DO53" i="1"/>
  <c r="DP53" i="1"/>
  <c r="DQ53" i="1"/>
  <c r="DR53" i="1"/>
  <c r="DS53" i="1"/>
  <c r="DO54" i="1"/>
  <c r="DP54" i="1"/>
  <c r="DQ54" i="1"/>
  <c r="DR54" i="1"/>
  <c r="DS54" i="1"/>
  <c r="DO55" i="1"/>
  <c r="DP55" i="1"/>
  <c r="DQ55" i="1"/>
  <c r="DR55" i="1"/>
  <c r="DS55" i="1"/>
  <c r="DO56" i="1"/>
  <c r="DP56" i="1"/>
  <c r="DQ56" i="1"/>
  <c r="DR56" i="1"/>
  <c r="DS56" i="1"/>
  <c r="DO57" i="1"/>
  <c r="DP57" i="1"/>
  <c r="DQ57" i="1"/>
  <c r="DR57" i="1"/>
  <c r="DS57" i="1"/>
  <c r="DO58" i="1"/>
  <c r="DP58" i="1"/>
  <c r="DQ58" i="1"/>
  <c r="DR58" i="1"/>
  <c r="DS58" i="1"/>
  <c r="DO59" i="1"/>
  <c r="DP59" i="1"/>
  <c r="DQ59" i="1"/>
  <c r="DR59" i="1"/>
  <c r="DS59" i="1"/>
  <c r="DO60" i="1"/>
  <c r="DP60" i="1"/>
  <c r="DQ60" i="1"/>
  <c r="DR60" i="1"/>
  <c r="DS60" i="1"/>
  <c r="DO61" i="1"/>
  <c r="DP61" i="1"/>
  <c r="DQ61" i="1"/>
  <c r="DR61" i="1"/>
  <c r="DS61" i="1"/>
  <c r="DO62" i="1"/>
  <c r="DP62" i="1"/>
  <c r="DQ62" i="1"/>
  <c r="DR62" i="1"/>
  <c r="DS62" i="1"/>
  <c r="DO63" i="1"/>
  <c r="DP63" i="1"/>
  <c r="DQ63" i="1"/>
  <c r="DR63" i="1"/>
  <c r="DS63" i="1"/>
  <c r="DO64" i="1"/>
  <c r="DP64" i="1"/>
  <c r="DQ64" i="1"/>
  <c r="DR64" i="1"/>
  <c r="DS64" i="1"/>
  <c r="DO65" i="1"/>
  <c r="DP65" i="1"/>
  <c r="DQ65" i="1"/>
  <c r="DR65" i="1"/>
  <c r="DS65" i="1"/>
  <c r="DO66" i="1"/>
  <c r="DP66" i="1"/>
  <c r="DQ66" i="1"/>
  <c r="DR66" i="1"/>
  <c r="DS66" i="1"/>
  <c r="DO67" i="1"/>
  <c r="DP67" i="1"/>
  <c r="DQ67" i="1"/>
  <c r="DR67" i="1"/>
  <c r="DS67" i="1"/>
  <c r="DO68" i="1"/>
  <c r="DP68" i="1"/>
  <c r="DQ68" i="1"/>
  <c r="DR68" i="1"/>
  <c r="DS68" i="1"/>
  <c r="DO69" i="1"/>
  <c r="DP69" i="1"/>
  <c r="DQ69" i="1"/>
  <c r="DR69" i="1"/>
  <c r="DS69" i="1"/>
  <c r="DO70" i="1"/>
  <c r="DP70" i="1"/>
  <c r="DQ70" i="1"/>
  <c r="DR70" i="1"/>
  <c r="DS70" i="1"/>
  <c r="DO71" i="1"/>
  <c r="DP71" i="1"/>
  <c r="DQ71" i="1"/>
  <c r="DR71" i="1"/>
  <c r="DS71" i="1"/>
  <c r="DO72" i="1"/>
  <c r="DP72" i="1"/>
  <c r="DQ72" i="1"/>
  <c r="DR72" i="1"/>
  <c r="DS72" i="1"/>
  <c r="DO73" i="1"/>
  <c r="DP73" i="1"/>
  <c r="DQ73" i="1"/>
  <c r="DR73" i="1"/>
  <c r="DS73" i="1"/>
  <c r="DO74" i="1"/>
  <c r="DP74" i="1"/>
  <c r="DQ74" i="1"/>
  <c r="DR74" i="1"/>
  <c r="DS74" i="1"/>
  <c r="DO75" i="1"/>
  <c r="DP75" i="1"/>
  <c r="DQ75" i="1"/>
  <c r="DR75" i="1"/>
  <c r="DS75" i="1"/>
  <c r="DO76" i="1"/>
  <c r="DP76" i="1"/>
  <c r="DQ76" i="1"/>
  <c r="DR76" i="1"/>
  <c r="DS76" i="1"/>
  <c r="DO77" i="1"/>
  <c r="DP77" i="1"/>
  <c r="DQ77" i="1"/>
  <c r="DR77" i="1"/>
  <c r="DS77" i="1"/>
  <c r="DO78" i="1"/>
  <c r="DP78" i="1"/>
  <c r="DQ78" i="1"/>
  <c r="DR78" i="1"/>
  <c r="DS78" i="1"/>
  <c r="DO79" i="1"/>
  <c r="DP79" i="1"/>
  <c r="DQ79" i="1"/>
  <c r="DR79" i="1"/>
  <c r="DS79" i="1"/>
  <c r="DO80" i="1"/>
  <c r="DP80" i="1"/>
  <c r="DQ80" i="1"/>
  <c r="DR80" i="1"/>
  <c r="DS80" i="1"/>
  <c r="DP11" i="1"/>
  <c r="N1" i="34"/>
  <c r="C18" i="1"/>
  <c r="C15" i="51" s="1"/>
  <c r="D18" i="1"/>
  <c r="C19" i="1"/>
  <c r="C16" i="51" s="1"/>
  <c r="D19" i="1"/>
  <c r="C20" i="1"/>
  <c r="C17" i="51" s="1"/>
  <c r="D20" i="1"/>
  <c r="C21" i="1"/>
  <c r="C18" i="51" s="1"/>
  <c r="D21" i="1"/>
  <c r="D18" i="51" s="1"/>
  <c r="C22" i="1"/>
  <c r="C19" i="51" s="1"/>
  <c r="D22" i="1"/>
  <c r="C23" i="1"/>
  <c r="C20" i="51" s="1"/>
  <c r="D23" i="1"/>
  <c r="D20" i="51" s="1"/>
  <c r="C24" i="1"/>
  <c r="C21" i="51" s="1"/>
  <c r="D24" i="1"/>
  <c r="D21" i="51" s="1"/>
  <c r="C25" i="1"/>
  <c r="D25" i="1"/>
  <c r="C26" i="1"/>
  <c r="D26" i="1"/>
  <c r="C27" i="1"/>
  <c r="D27" i="1"/>
  <c r="C28" i="1"/>
  <c r="D28" i="1"/>
  <c r="C29" i="1"/>
  <c r="D29" i="1"/>
  <c r="C30" i="1"/>
  <c r="D30" i="1"/>
  <c r="C31" i="1"/>
  <c r="C28" i="51" s="1"/>
  <c r="D31" i="1"/>
  <c r="C32" i="1"/>
  <c r="C29" i="51" s="1"/>
  <c r="D32" i="1"/>
  <c r="C33" i="1"/>
  <c r="C30" i="51" s="1"/>
  <c r="D33" i="1"/>
  <c r="C34" i="1"/>
  <c r="C31" i="51" s="1"/>
  <c r="D34" i="1"/>
  <c r="D31" i="51" s="1"/>
  <c r="C35" i="1"/>
  <c r="D35" i="1"/>
  <c r="D32" i="51" s="1"/>
  <c r="C36" i="1"/>
  <c r="D36" i="1"/>
  <c r="C37" i="1"/>
  <c r="C34" i="51" s="1"/>
  <c r="D37" i="1"/>
  <c r="D34" i="51" s="1"/>
  <c r="C38" i="1"/>
  <c r="C35" i="51" s="1"/>
  <c r="D38" i="1"/>
  <c r="D35" i="51" s="1"/>
  <c r="C39" i="1"/>
  <c r="C36" i="51" s="1"/>
  <c r="D39" i="1"/>
  <c r="D36" i="51" s="1"/>
  <c r="C40" i="1"/>
  <c r="D40" i="1"/>
  <c r="D37" i="51" s="1"/>
  <c r="C41" i="1"/>
  <c r="C38" i="51" s="1"/>
  <c r="D41" i="1"/>
  <c r="D38" i="51"/>
  <c r="C42" i="1"/>
  <c r="C39" i="51" s="1"/>
  <c r="D42" i="1"/>
  <c r="D39" i="51" s="1"/>
  <c r="C43" i="1"/>
  <c r="D43" i="1"/>
  <c r="D40" i="51" s="1"/>
  <c r="C44" i="1"/>
  <c r="D44" i="1"/>
  <c r="D41" i="51" s="1"/>
  <c r="C45" i="1"/>
  <c r="C42" i="51" s="1"/>
  <c r="D45" i="1"/>
  <c r="D42" i="51" s="1"/>
  <c r="C46" i="1"/>
  <c r="D46" i="1"/>
  <c r="D43" i="51" s="1"/>
  <c r="C47" i="1"/>
  <c r="C44" i="51" s="1"/>
  <c r="D47" i="1"/>
  <c r="D44" i="51" s="1"/>
  <c r="C48" i="1"/>
  <c r="C45" i="51" s="1"/>
  <c r="D48" i="1"/>
  <c r="D45" i="51" s="1"/>
  <c r="C49" i="1"/>
  <c r="C46" i="51" s="1"/>
  <c r="D49" i="1"/>
  <c r="D46" i="51" s="1"/>
  <c r="C50" i="1"/>
  <c r="C47" i="51" s="1"/>
  <c r="D50" i="1"/>
  <c r="D47" i="51" s="1"/>
  <c r="C51" i="1"/>
  <c r="C48" i="51" s="1"/>
  <c r="D51" i="1"/>
  <c r="D48" i="51"/>
  <c r="C52" i="1"/>
  <c r="C49" i="51" s="1"/>
  <c r="D52" i="1"/>
  <c r="D49" i="51" s="1"/>
  <c r="C53" i="1"/>
  <c r="C50" i="51" s="1"/>
  <c r="D53" i="1"/>
  <c r="D50" i="51" s="1"/>
  <c r="C54" i="1"/>
  <c r="C51" i="51" s="1"/>
  <c r="D54" i="1"/>
  <c r="D51" i="51" s="1"/>
  <c r="C55" i="1"/>
  <c r="C52" i="51" s="1"/>
  <c r="D55" i="1"/>
  <c r="D52" i="51" s="1"/>
  <c r="C56" i="1"/>
  <c r="D56" i="1"/>
  <c r="D53" i="51" s="1"/>
  <c r="C57" i="1"/>
  <c r="C54" i="51" s="1"/>
  <c r="D57" i="1"/>
  <c r="D54" i="51" s="1"/>
  <c r="C58" i="1"/>
  <c r="D58" i="1"/>
  <c r="D55" i="51" s="1"/>
  <c r="C59" i="1"/>
  <c r="C56" i="51" s="1"/>
  <c r="D59" i="1"/>
  <c r="D56" i="51" s="1"/>
  <c r="C60" i="1"/>
  <c r="C57" i="51" s="1"/>
  <c r="D60" i="1"/>
  <c r="D57" i="51" s="1"/>
  <c r="C61" i="1"/>
  <c r="D61" i="1"/>
  <c r="D58" i="51"/>
  <c r="C62" i="1"/>
  <c r="D62" i="1"/>
  <c r="D59" i="51"/>
  <c r="C63" i="1"/>
  <c r="C60" i="51"/>
  <c r="D63" i="1"/>
  <c r="D60" i="51"/>
  <c r="C64" i="1"/>
  <c r="C61" i="51"/>
  <c r="D64" i="1"/>
  <c r="D61" i="51"/>
  <c r="C65" i="1"/>
  <c r="C62" i="51"/>
  <c r="D65" i="1"/>
  <c r="D62" i="51"/>
  <c r="C66" i="1"/>
  <c r="C63" i="51"/>
  <c r="D66" i="1"/>
  <c r="D63" i="51"/>
  <c r="C67" i="1"/>
  <c r="D67" i="1"/>
  <c r="D64" i="51"/>
  <c r="C68" i="1"/>
  <c r="D68" i="1"/>
  <c r="D65" i="51"/>
  <c r="C69" i="1"/>
  <c r="C66" i="51"/>
  <c r="D69" i="1"/>
  <c r="D66" i="51"/>
  <c r="C70" i="1"/>
  <c r="C67" i="51"/>
  <c r="D70" i="1"/>
  <c r="D67" i="51"/>
  <c r="C71" i="1"/>
  <c r="D71" i="1"/>
  <c r="D68" i="51"/>
  <c r="C72" i="1"/>
  <c r="C69" i="51"/>
  <c r="D72" i="1"/>
  <c r="D69" i="51"/>
  <c r="C73" i="1"/>
  <c r="D73" i="1"/>
  <c r="C74" i="1"/>
  <c r="D74" i="1"/>
  <c r="C75" i="1"/>
  <c r="D75" i="1"/>
  <c r="C76" i="1"/>
  <c r="D76" i="1"/>
  <c r="C77" i="1"/>
  <c r="D77" i="1"/>
  <c r="C78" i="1"/>
  <c r="D78" i="1"/>
  <c r="C79" i="1"/>
  <c r="D79" i="1"/>
  <c r="C80" i="1"/>
  <c r="D80" i="1"/>
  <c r="C13" i="1"/>
  <c r="C10" i="51" s="1"/>
  <c r="D13" i="1"/>
  <c r="D10" i="51" s="1"/>
  <c r="C14" i="1"/>
  <c r="C11" i="51" s="1"/>
  <c r="D14" i="1"/>
  <c r="D11" i="51"/>
  <c r="C15" i="1"/>
  <c r="C12" i="51" s="1"/>
  <c r="D15" i="1"/>
  <c r="D12" i="51" s="1"/>
  <c r="C16" i="1"/>
  <c r="C13" i="51" s="1"/>
  <c r="D16" i="1"/>
  <c r="D13" i="51" s="1"/>
  <c r="C17" i="1"/>
  <c r="D17" i="1"/>
  <c r="D14" i="51" s="1"/>
  <c r="C12" i="1"/>
  <c r="C9" i="51" s="1"/>
  <c r="D12" i="1"/>
  <c r="D9" i="51" s="1"/>
  <c r="D11" i="1"/>
  <c r="D8" i="51" s="1"/>
  <c r="C11" i="1"/>
  <c r="C8" i="51" s="1"/>
  <c r="J3" i="34"/>
  <c r="J4" i="34"/>
  <c r="J5" i="34"/>
  <c r="J6" i="34"/>
  <c r="J7" i="34"/>
  <c r="J8" i="34"/>
  <c r="J9" i="34"/>
  <c r="J10" i="34"/>
  <c r="J11" i="34"/>
  <c r="J12" i="34"/>
  <c r="J13" i="34"/>
  <c r="J14" i="34"/>
  <c r="J15" i="34"/>
  <c r="J16" i="34"/>
  <c r="J17" i="34"/>
  <c r="J18" i="34"/>
  <c r="J19" i="34"/>
  <c r="J20" i="34"/>
  <c r="J21" i="34"/>
  <c r="J22" i="34"/>
  <c r="J23" i="34"/>
  <c r="J24" i="34"/>
  <c r="J25" i="34"/>
  <c r="J26" i="34"/>
  <c r="J27" i="34"/>
  <c r="J28" i="34"/>
  <c r="J29" i="34"/>
  <c r="J30" i="34"/>
  <c r="J31" i="34"/>
  <c r="J32" i="34"/>
  <c r="J33" i="34"/>
  <c r="J34" i="34"/>
  <c r="J35" i="34"/>
  <c r="J36" i="34"/>
  <c r="J37" i="34"/>
  <c r="J38" i="34"/>
  <c r="J39" i="34"/>
  <c r="J40" i="34"/>
  <c r="J41" i="34"/>
  <c r="J42" i="34"/>
  <c r="J43" i="34"/>
  <c r="J44" i="34"/>
  <c r="J45" i="34"/>
  <c r="J46" i="34"/>
  <c r="J47" i="34"/>
  <c r="J48" i="34"/>
  <c r="J49" i="34"/>
  <c r="J50" i="34"/>
  <c r="J51" i="34"/>
  <c r="J52" i="34"/>
  <c r="J53" i="34"/>
  <c r="J54" i="34"/>
  <c r="J55" i="34"/>
  <c r="J56" i="34"/>
  <c r="J57" i="34"/>
  <c r="J58" i="34"/>
  <c r="J59" i="34"/>
  <c r="J60" i="34"/>
  <c r="J61" i="34"/>
  <c r="J62" i="34"/>
  <c r="J63" i="34"/>
  <c r="J64" i="34"/>
  <c r="J65" i="34"/>
  <c r="J66" i="34"/>
  <c r="J67" i="34"/>
  <c r="J68" i="34"/>
  <c r="J69" i="34"/>
  <c r="J70" i="34"/>
  <c r="J71" i="34"/>
  <c r="J72" i="34"/>
  <c r="J73" i="34"/>
  <c r="J74" i="34"/>
  <c r="J75" i="34"/>
  <c r="J76" i="34"/>
  <c r="J77" i="34"/>
  <c r="J78" i="34"/>
  <c r="J79" i="34"/>
  <c r="J80" i="34"/>
  <c r="J81" i="34"/>
  <c r="J82" i="34"/>
  <c r="J83" i="34"/>
  <c r="J84" i="34"/>
  <c r="J85" i="34"/>
  <c r="J86" i="34"/>
  <c r="J87" i="34"/>
  <c r="J88" i="34"/>
  <c r="J89" i="34"/>
  <c r="J90" i="34"/>
  <c r="J91" i="34"/>
  <c r="J92" i="34"/>
  <c r="J93" i="34"/>
  <c r="J94" i="34"/>
  <c r="J95" i="34"/>
  <c r="J96" i="34"/>
  <c r="J97" i="34"/>
  <c r="J98" i="34"/>
  <c r="J99" i="34"/>
  <c r="J100" i="34"/>
  <c r="J101" i="34"/>
  <c r="J102" i="34"/>
  <c r="J103" i="34"/>
  <c r="J104" i="34"/>
  <c r="J105" i="34"/>
  <c r="J106" i="34"/>
  <c r="J107" i="34"/>
  <c r="J108" i="34"/>
  <c r="J109" i="34"/>
  <c r="J110" i="34"/>
  <c r="J111" i="34"/>
  <c r="J112" i="34"/>
  <c r="J113" i="34"/>
  <c r="J114" i="34"/>
  <c r="J115" i="34"/>
  <c r="J116" i="34"/>
  <c r="J117" i="34"/>
  <c r="J118" i="34"/>
  <c r="J119" i="34"/>
  <c r="J120" i="34"/>
  <c r="J121" i="34"/>
  <c r="J122" i="34"/>
  <c r="J123" i="34"/>
  <c r="J124" i="34"/>
  <c r="J125" i="34"/>
  <c r="J126" i="34"/>
  <c r="J127" i="34"/>
  <c r="J128" i="34"/>
  <c r="J129" i="34"/>
  <c r="J130" i="34"/>
  <c r="J131" i="34"/>
  <c r="J132" i="34"/>
  <c r="J133" i="34"/>
  <c r="J134" i="34"/>
  <c r="J135" i="34"/>
  <c r="J136" i="34"/>
  <c r="J137" i="34"/>
  <c r="J138" i="34"/>
  <c r="J139" i="34"/>
  <c r="J140" i="34"/>
  <c r="J141" i="34"/>
  <c r="J142" i="34"/>
  <c r="J143" i="34"/>
  <c r="J144" i="34"/>
  <c r="J145" i="34"/>
  <c r="J146" i="34"/>
  <c r="J147" i="34"/>
  <c r="J148" i="34"/>
  <c r="J149" i="34"/>
  <c r="J150" i="34"/>
  <c r="J151" i="34"/>
  <c r="J152" i="34"/>
  <c r="J153" i="34"/>
  <c r="J154" i="34"/>
  <c r="J155" i="34"/>
  <c r="J156" i="34"/>
  <c r="J157" i="34"/>
  <c r="J158" i="34"/>
  <c r="J159" i="34"/>
  <c r="J160" i="34"/>
  <c r="J161" i="34"/>
  <c r="J162" i="34"/>
  <c r="J163" i="34"/>
  <c r="J164" i="34"/>
  <c r="J165" i="34"/>
  <c r="J166" i="34"/>
  <c r="J167" i="34"/>
  <c r="J168" i="34"/>
  <c r="J169" i="34"/>
  <c r="J170" i="34"/>
  <c r="J171" i="34"/>
  <c r="J172" i="34"/>
  <c r="J173" i="34"/>
  <c r="J174" i="34"/>
  <c r="J175" i="34"/>
  <c r="J176" i="34"/>
  <c r="J177" i="34"/>
  <c r="J178" i="34"/>
  <c r="J179" i="34"/>
  <c r="J180" i="34"/>
  <c r="J181" i="34"/>
  <c r="J182" i="34"/>
  <c r="J183" i="34"/>
  <c r="J184" i="34"/>
  <c r="J185" i="34"/>
  <c r="J186" i="34"/>
  <c r="J187" i="34"/>
  <c r="J188" i="34"/>
  <c r="J189" i="34"/>
  <c r="J190" i="34"/>
  <c r="J191" i="34"/>
  <c r="J192" i="34"/>
  <c r="J193" i="34"/>
  <c r="J194" i="34"/>
  <c r="J195" i="34"/>
  <c r="J196" i="34"/>
  <c r="J197" i="34"/>
  <c r="J198" i="34"/>
  <c r="J199" i="34"/>
  <c r="J200" i="34"/>
  <c r="J201" i="34"/>
  <c r="J202" i="34"/>
  <c r="J203" i="34"/>
  <c r="J204" i="34"/>
  <c r="J205" i="34"/>
  <c r="J206" i="34"/>
  <c r="J207" i="34"/>
  <c r="J208" i="34"/>
  <c r="J209" i="34"/>
  <c r="J210" i="34"/>
  <c r="J211" i="34"/>
  <c r="J212" i="34"/>
  <c r="J213" i="34"/>
  <c r="J214" i="34"/>
  <c r="J215" i="34"/>
  <c r="J216" i="34"/>
  <c r="J217" i="34"/>
  <c r="J218" i="34"/>
  <c r="J219" i="34"/>
  <c r="J220" i="34"/>
  <c r="J221" i="34"/>
  <c r="J222" i="34"/>
  <c r="J223" i="34"/>
  <c r="J224" i="34"/>
  <c r="J225" i="34"/>
  <c r="J226" i="34"/>
  <c r="J227" i="34"/>
  <c r="J228" i="34"/>
  <c r="J229" i="34"/>
  <c r="J230" i="34"/>
  <c r="J231" i="34"/>
  <c r="J232" i="34"/>
  <c r="J233" i="34"/>
  <c r="J234" i="34"/>
  <c r="J235" i="34"/>
  <c r="J236" i="34"/>
  <c r="J237" i="34"/>
  <c r="J238" i="34"/>
  <c r="J239" i="34"/>
  <c r="J240" i="34"/>
  <c r="J241" i="34"/>
  <c r="J242" i="34"/>
  <c r="J243" i="34"/>
  <c r="J244" i="34"/>
  <c r="J245" i="34"/>
  <c r="J246" i="34"/>
  <c r="J247" i="34"/>
  <c r="J248" i="34"/>
  <c r="J249" i="34"/>
  <c r="J250" i="34"/>
  <c r="J251" i="34"/>
  <c r="J252" i="34"/>
  <c r="J253" i="34"/>
  <c r="J254" i="34"/>
  <c r="J255" i="34"/>
  <c r="J256" i="34"/>
  <c r="J257" i="34"/>
  <c r="J258" i="34"/>
  <c r="J259" i="34"/>
  <c r="J260" i="34"/>
  <c r="J261" i="34"/>
  <c r="J262" i="34"/>
  <c r="J263" i="34"/>
  <c r="J264" i="34"/>
  <c r="J265" i="34"/>
  <c r="J266" i="34"/>
  <c r="J267" i="34"/>
  <c r="J268" i="34"/>
  <c r="J269" i="34"/>
  <c r="J270" i="34"/>
  <c r="J271" i="34"/>
  <c r="J272" i="34"/>
  <c r="J273" i="34"/>
  <c r="J274" i="34"/>
  <c r="J275" i="34"/>
  <c r="J276" i="34"/>
  <c r="J277" i="34"/>
  <c r="J278" i="34"/>
  <c r="J279" i="34"/>
  <c r="J280" i="34"/>
  <c r="J281" i="34"/>
  <c r="J282" i="34"/>
  <c r="J283" i="34"/>
  <c r="J284" i="34"/>
  <c r="J285" i="34"/>
  <c r="J286" i="34"/>
  <c r="J287" i="34"/>
  <c r="J288" i="34"/>
  <c r="J289" i="34"/>
  <c r="J290" i="34"/>
  <c r="J291" i="34"/>
  <c r="J292" i="34"/>
  <c r="J293" i="34"/>
  <c r="J294" i="34"/>
  <c r="J295" i="34"/>
  <c r="J296" i="34"/>
  <c r="J297" i="34"/>
  <c r="J298" i="34"/>
  <c r="J299" i="34"/>
  <c r="J300" i="34"/>
  <c r="J301" i="34"/>
  <c r="J302" i="34"/>
  <c r="J303" i="34"/>
  <c r="J304" i="34"/>
  <c r="J305" i="34"/>
  <c r="J306" i="34"/>
  <c r="J307" i="34"/>
  <c r="J308" i="34"/>
  <c r="J309" i="34"/>
  <c r="J310" i="34"/>
  <c r="J311" i="34"/>
  <c r="J312" i="34"/>
  <c r="J313" i="34"/>
  <c r="J314" i="34"/>
  <c r="J315" i="34"/>
  <c r="J316" i="34"/>
  <c r="J317" i="34"/>
  <c r="J318" i="34"/>
  <c r="J319" i="34"/>
  <c r="J320" i="34"/>
  <c r="J321" i="34"/>
  <c r="J322" i="34"/>
  <c r="J323" i="34"/>
  <c r="J324" i="34"/>
  <c r="J325" i="34"/>
  <c r="J326" i="34"/>
  <c r="J327" i="34"/>
  <c r="J328" i="34"/>
  <c r="J329" i="34"/>
  <c r="J330" i="34"/>
  <c r="J331" i="34"/>
  <c r="J332" i="34"/>
  <c r="J333" i="34"/>
  <c r="J334" i="34"/>
  <c r="J335" i="34"/>
  <c r="J336" i="34"/>
  <c r="J337" i="34"/>
  <c r="J338" i="34"/>
  <c r="J339" i="34"/>
  <c r="J340" i="34"/>
  <c r="J341" i="34"/>
  <c r="J342" i="34"/>
  <c r="J343" i="34"/>
  <c r="J344" i="34"/>
  <c r="J345" i="34"/>
  <c r="J346" i="34"/>
  <c r="J347" i="34"/>
  <c r="J348" i="34"/>
  <c r="J349" i="34"/>
  <c r="J350" i="34"/>
  <c r="J351" i="34"/>
  <c r="J352" i="34"/>
  <c r="J353" i="34"/>
  <c r="J354" i="34"/>
  <c r="J355" i="34"/>
  <c r="J356" i="34"/>
  <c r="J357" i="34"/>
  <c r="J358" i="34"/>
  <c r="J359" i="34"/>
  <c r="J360" i="34"/>
  <c r="J361" i="34"/>
  <c r="J362" i="34"/>
  <c r="J363" i="34"/>
  <c r="J364" i="34"/>
  <c r="J365" i="34"/>
  <c r="J366" i="34"/>
  <c r="J367" i="34"/>
  <c r="J368" i="34"/>
  <c r="J369" i="34"/>
  <c r="J370" i="34"/>
  <c r="J371" i="34"/>
  <c r="J372" i="34"/>
  <c r="J373" i="34"/>
  <c r="J374" i="34"/>
  <c r="J375" i="34"/>
  <c r="J376" i="34"/>
  <c r="J377" i="34"/>
  <c r="J378" i="34"/>
  <c r="J379" i="34"/>
  <c r="J380" i="34"/>
  <c r="J381" i="34"/>
  <c r="J382" i="34"/>
  <c r="J383" i="34"/>
  <c r="J384" i="34"/>
  <c r="J385" i="34"/>
  <c r="J386" i="34"/>
  <c r="J387" i="34"/>
  <c r="J388" i="34"/>
  <c r="J389" i="34"/>
  <c r="J390" i="34"/>
  <c r="J391" i="34"/>
  <c r="J392" i="34"/>
  <c r="J393" i="34"/>
  <c r="J394" i="34"/>
  <c r="J395" i="34"/>
  <c r="J396" i="34"/>
  <c r="J397" i="34"/>
  <c r="J398" i="34"/>
  <c r="J399" i="34"/>
  <c r="J400" i="34"/>
  <c r="J401" i="34"/>
  <c r="J402" i="34"/>
  <c r="J403" i="34"/>
  <c r="J404" i="34"/>
  <c r="J405" i="34"/>
  <c r="J406" i="34"/>
  <c r="J407" i="34"/>
  <c r="J408" i="34"/>
  <c r="J409" i="34"/>
  <c r="J410" i="34"/>
  <c r="J411" i="34"/>
  <c r="J412" i="34"/>
  <c r="J413" i="34"/>
  <c r="J414" i="34"/>
  <c r="J415" i="34"/>
  <c r="J416" i="34"/>
  <c r="J417" i="34"/>
  <c r="J418" i="34"/>
  <c r="J419" i="34"/>
  <c r="J420" i="34"/>
  <c r="J421" i="34"/>
  <c r="J422" i="34"/>
  <c r="J423" i="34"/>
  <c r="J424" i="34"/>
  <c r="J425" i="34"/>
  <c r="J426" i="34"/>
  <c r="J427" i="34"/>
  <c r="J428" i="34"/>
  <c r="J429" i="34"/>
  <c r="J430" i="34"/>
  <c r="J431" i="34"/>
  <c r="J432" i="34"/>
  <c r="J433" i="34"/>
  <c r="J434" i="34"/>
  <c r="J435" i="34"/>
  <c r="J436" i="34"/>
  <c r="J437" i="34"/>
  <c r="J438" i="34"/>
  <c r="J439" i="34"/>
  <c r="J440" i="34"/>
  <c r="J441" i="34"/>
  <c r="J442" i="34"/>
  <c r="J443" i="34"/>
  <c r="J444" i="34"/>
  <c r="J445" i="34"/>
  <c r="J446" i="34"/>
  <c r="J447" i="34"/>
  <c r="J448" i="34"/>
  <c r="J449" i="34"/>
  <c r="J450" i="34"/>
  <c r="J451" i="34"/>
  <c r="J452" i="34"/>
  <c r="J453" i="34"/>
  <c r="J454" i="34"/>
  <c r="J455" i="34"/>
  <c r="J456" i="34"/>
  <c r="J457" i="34"/>
  <c r="J458" i="34"/>
  <c r="J459" i="34"/>
  <c r="J460" i="34"/>
  <c r="J461" i="34"/>
  <c r="J462" i="34"/>
  <c r="J463" i="34"/>
  <c r="J464" i="34"/>
  <c r="J465" i="34"/>
  <c r="J466" i="34"/>
  <c r="J467" i="34"/>
  <c r="J468" i="34"/>
  <c r="J469" i="34"/>
  <c r="J470" i="34"/>
  <c r="J471" i="34"/>
  <c r="J472" i="34"/>
  <c r="J473" i="34"/>
  <c r="J474" i="34"/>
  <c r="J475" i="34"/>
  <c r="J476" i="34"/>
  <c r="J477" i="34"/>
  <c r="J478" i="34"/>
  <c r="J479" i="34"/>
  <c r="J480" i="34"/>
  <c r="J481" i="34"/>
  <c r="J482" i="34"/>
  <c r="J483" i="34"/>
  <c r="J484" i="34"/>
  <c r="J485" i="34"/>
  <c r="J486" i="34"/>
  <c r="J487" i="34"/>
  <c r="J488" i="34"/>
  <c r="J489" i="34"/>
  <c r="J490" i="34"/>
  <c r="J491" i="34"/>
  <c r="J492" i="34"/>
  <c r="J493" i="34"/>
  <c r="J494" i="34"/>
  <c r="J495" i="34"/>
  <c r="J496" i="34"/>
  <c r="J497" i="34"/>
  <c r="J498" i="34"/>
  <c r="J499" i="34"/>
  <c r="J500" i="34"/>
  <c r="J501" i="34"/>
  <c r="J502" i="34"/>
  <c r="J503" i="34"/>
  <c r="J504" i="34"/>
  <c r="J505" i="34"/>
  <c r="J506" i="34"/>
  <c r="J507" i="34"/>
  <c r="J508" i="34"/>
  <c r="J509" i="34"/>
  <c r="J510" i="34"/>
  <c r="J511" i="34"/>
  <c r="J512" i="34"/>
  <c r="J513" i="34"/>
  <c r="J514" i="34"/>
  <c r="J515" i="34"/>
  <c r="J516" i="34"/>
  <c r="J517" i="34"/>
  <c r="J518" i="34"/>
  <c r="J519" i="34"/>
  <c r="J520" i="34"/>
  <c r="J521" i="34"/>
  <c r="J522" i="34"/>
  <c r="J523" i="34"/>
  <c r="J524" i="34"/>
  <c r="J525" i="34"/>
  <c r="J526" i="34"/>
  <c r="J527" i="34"/>
  <c r="J528" i="34"/>
  <c r="J529" i="34"/>
  <c r="J530" i="34"/>
  <c r="J531" i="34"/>
  <c r="J532" i="34"/>
  <c r="J533" i="34"/>
  <c r="J534" i="34"/>
  <c r="J535" i="34"/>
  <c r="J536" i="34"/>
  <c r="J537" i="34"/>
  <c r="J538" i="34"/>
  <c r="J539" i="34"/>
  <c r="J540" i="34"/>
  <c r="J541" i="34"/>
  <c r="J542" i="34"/>
  <c r="J543" i="34"/>
  <c r="J544" i="34"/>
  <c r="J545" i="34"/>
  <c r="J546" i="34"/>
  <c r="J547" i="34"/>
  <c r="J548" i="34"/>
  <c r="J549" i="34"/>
  <c r="J550" i="34"/>
  <c r="J551" i="34"/>
  <c r="J552" i="34"/>
  <c r="J553" i="34"/>
  <c r="J554" i="34"/>
  <c r="J555" i="34"/>
  <c r="J556" i="34"/>
  <c r="J557" i="34"/>
  <c r="J558" i="34"/>
  <c r="J559" i="34"/>
  <c r="J560" i="34"/>
  <c r="J561" i="34"/>
  <c r="J562" i="34"/>
  <c r="J563" i="34"/>
  <c r="J564" i="34"/>
  <c r="J565" i="34"/>
  <c r="J566" i="34"/>
  <c r="J567" i="34"/>
  <c r="J568" i="34"/>
  <c r="J569" i="34"/>
  <c r="J570" i="34"/>
  <c r="J571" i="34"/>
  <c r="J572" i="34"/>
  <c r="J573" i="34"/>
  <c r="J574" i="34"/>
  <c r="J575" i="34"/>
  <c r="J576" i="34"/>
  <c r="J577" i="34"/>
  <c r="J578" i="34"/>
  <c r="J579" i="34"/>
  <c r="J580" i="34"/>
  <c r="J581" i="34"/>
  <c r="J582" i="34"/>
  <c r="J583" i="34"/>
  <c r="J584" i="34"/>
  <c r="J585" i="34"/>
  <c r="J586" i="34"/>
  <c r="J587" i="34"/>
  <c r="J588" i="34"/>
  <c r="J589" i="34"/>
  <c r="J590" i="34"/>
  <c r="J591" i="34"/>
  <c r="J592" i="34"/>
  <c r="J593" i="34"/>
  <c r="J594" i="34"/>
  <c r="J595" i="34"/>
  <c r="J596" i="34"/>
  <c r="J597" i="34"/>
  <c r="J598" i="34"/>
  <c r="J599" i="34"/>
  <c r="J600" i="34"/>
  <c r="J601" i="34"/>
  <c r="J602" i="34"/>
  <c r="J603" i="34"/>
  <c r="J604" i="34"/>
  <c r="J605" i="34"/>
  <c r="J606" i="34"/>
  <c r="J607" i="34"/>
  <c r="J608" i="34"/>
  <c r="J609" i="34"/>
  <c r="J610" i="34"/>
  <c r="J611" i="34"/>
  <c r="J612" i="34"/>
  <c r="J613" i="34"/>
  <c r="J614" i="34"/>
  <c r="J615" i="34"/>
  <c r="J616" i="34"/>
  <c r="J617" i="34"/>
  <c r="J618" i="34"/>
  <c r="J619" i="34"/>
  <c r="J620" i="34"/>
  <c r="J621" i="34"/>
  <c r="J622" i="34"/>
  <c r="J623" i="34"/>
  <c r="J624" i="34"/>
  <c r="J625" i="34"/>
  <c r="J626" i="34"/>
  <c r="J627" i="34"/>
  <c r="J628" i="34"/>
  <c r="J629" i="34"/>
  <c r="J630" i="34"/>
  <c r="J631" i="34"/>
  <c r="J632" i="34"/>
  <c r="J633" i="34"/>
  <c r="J634" i="34"/>
  <c r="J635" i="34"/>
  <c r="J636" i="34"/>
  <c r="J637" i="34"/>
  <c r="J638" i="34"/>
  <c r="J639" i="34"/>
  <c r="J640" i="34"/>
  <c r="J641" i="34"/>
  <c r="J642" i="34"/>
  <c r="J643" i="34"/>
  <c r="J644" i="34"/>
  <c r="J645" i="34"/>
  <c r="J646" i="34"/>
  <c r="J647" i="34"/>
  <c r="J648" i="34"/>
  <c r="J649" i="34"/>
  <c r="J650" i="34"/>
  <c r="J651" i="34"/>
  <c r="J652" i="34"/>
  <c r="J653" i="34"/>
  <c r="J654" i="34"/>
  <c r="J655" i="34"/>
  <c r="J656" i="34"/>
  <c r="J657" i="34"/>
  <c r="J658" i="34"/>
  <c r="J659" i="34"/>
  <c r="J660" i="34"/>
  <c r="J661" i="34"/>
  <c r="J662" i="34"/>
  <c r="J663" i="34"/>
  <c r="J664" i="34"/>
  <c r="J665" i="34"/>
  <c r="J666" i="34"/>
  <c r="J667" i="34"/>
  <c r="J668" i="34"/>
  <c r="J669" i="34"/>
  <c r="J670" i="34"/>
  <c r="J671" i="34"/>
  <c r="J672" i="34"/>
  <c r="J673" i="34"/>
  <c r="J674" i="34"/>
  <c r="J675" i="34"/>
  <c r="J676" i="34"/>
  <c r="J677" i="34"/>
  <c r="J678" i="34"/>
  <c r="J679" i="34"/>
  <c r="J680" i="34"/>
  <c r="J681" i="34"/>
  <c r="J682" i="34"/>
  <c r="J683" i="34"/>
  <c r="J684" i="34"/>
  <c r="J685" i="34"/>
  <c r="J686" i="34"/>
  <c r="J687" i="34"/>
  <c r="J688" i="34"/>
  <c r="J689" i="34"/>
  <c r="J690" i="34"/>
  <c r="J691" i="34"/>
  <c r="J692" i="34"/>
  <c r="J693" i="34"/>
  <c r="J694" i="34"/>
  <c r="J695" i="34"/>
  <c r="J696" i="34"/>
  <c r="J697" i="34"/>
  <c r="J698" i="34"/>
  <c r="J699" i="34"/>
  <c r="J700" i="34"/>
  <c r="J701" i="34"/>
  <c r="J702" i="34"/>
  <c r="J703" i="34"/>
  <c r="J704" i="34"/>
  <c r="J705" i="34"/>
  <c r="J706" i="34"/>
  <c r="J707" i="34"/>
  <c r="J708" i="34"/>
  <c r="J709" i="34"/>
  <c r="J710" i="34"/>
  <c r="J711" i="34"/>
  <c r="J712" i="34"/>
  <c r="J713" i="34"/>
  <c r="J714" i="34"/>
  <c r="J715" i="34"/>
  <c r="J716" i="34"/>
  <c r="J717" i="34"/>
  <c r="J718" i="34"/>
  <c r="J719" i="34"/>
  <c r="J720" i="34"/>
  <c r="J721" i="34"/>
  <c r="J722" i="34"/>
  <c r="J723" i="34"/>
  <c r="J724" i="34"/>
  <c r="J725" i="34"/>
  <c r="J726" i="34"/>
  <c r="J727" i="34"/>
  <c r="J728" i="34"/>
  <c r="J729" i="34"/>
  <c r="J730" i="34"/>
  <c r="J731" i="34"/>
  <c r="J732" i="34"/>
  <c r="J733" i="34"/>
  <c r="J734" i="34"/>
  <c r="J735" i="34"/>
  <c r="J736" i="34"/>
  <c r="J737" i="34"/>
  <c r="J738" i="34"/>
  <c r="J739" i="34"/>
  <c r="J740" i="34"/>
  <c r="J741" i="34"/>
  <c r="J742" i="34"/>
  <c r="J743" i="34"/>
  <c r="J744" i="34"/>
  <c r="J745" i="34"/>
  <c r="J746" i="34"/>
  <c r="J747" i="34"/>
  <c r="J748" i="34"/>
  <c r="J749" i="34"/>
  <c r="J750" i="34"/>
  <c r="J751" i="34"/>
  <c r="J752" i="34"/>
  <c r="J753" i="34"/>
  <c r="J754" i="34"/>
  <c r="J755" i="34"/>
  <c r="J756" i="34"/>
  <c r="J757" i="34"/>
  <c r="J758" i="34"/>
  <c r="J759" i="34"/>
  <c r="J760" i="34"/>
  <c r="J761" i="34"/>
  <c r="J762" i="34"/>
  <c r="J763" i="34"/>
  <c r="J764" i="34"/>
  <c r="J765" i="34"/>
  <c r="J766" i="34"/>
  <c r="J767" i="34"/>
  <c r="J768" i="34"/>
  <c r="J769" i="34"/>
  <c r="J770" i="34"/>
  <c r="J771" i="34"/>
  <c r="J772" i="34"/>
  <c r="J773" i="34"/>
  <c r="J774" i="34"/>
  <c r="J775" i="34"/>
  <c r="J776" i="34"/>
  <c r="J777" i="34"/>
  <c r="J778" i="34"/>
  <c r="J779" i="34"/>
  <c r="J780" i="34"/>
  <c r="J781" i="34"/>
  <c r="J782" i="34"/>
  <c r="J783" i="34"/>
  <c r="J784" i="34"/>
  <c r="J785" i="34"/>
  <c r="J786" i="34"/>
  <c r="J787" i="34"/>
  <c r="J788" i="34"/>
  <c r="J789" i="34"/>
  <c r="J790" i="34"/>
  <c r="J791" i="34"/>
  <c r="J792" i="34"/>
  <c r="J793" i="34"/>
  <c r="J794" i="34"/>
  <c r="J795" i="34"/>
  <c r="J796" i="34"/>
  <c r="J797" i="34"/>
  <c r="J798" i="34"/>
  <c r="J799" i="34"/>
  <c r="J800" i="34"/>
  <c r="J801" i="34"/>
  <c r="J802" i="34"/>
  <c r="J803" i="34"/>
  <c r="J804" i="34"/>
  <c r="J805" i="34"/>
  <c r="J806" i="34"/>
  <c r="J807" i="34"/>
  <c r="J808" i="34"/>
  <c r="J809" i="34"/>
  <c r="J810" i="34"/>
  <c r="J811" i="34"/>
  <c r="J812" i="34"/>
  <c r="J813" i="34"/>
  <c r="J814" i="34"/>
  <c r="J815" i="34"/>
  <c r="J816" i="34"/>
  <c r="J817" i="34"/>
  <c r="J818" i="34"/>
  <c r="J819" i="34"/>
  <c r="J820" i="34"/>
  <c r="J821" i="34"/>
  <c r="J822" i="34"/>
  <c r="J823" i="34"/>
  <c r="J824" i="34"/>
  <c r="J825" i="34"/>
  <c r="J826" i="34"/>
  <c r="J827" i="34"/>
  <c r="J828" i="34"/>
  <c r="J829" i="34"/>
  <c r="J830" i="34"/>
  <c r="J831" i="34"/>
  <c r="J832" i="34"/>
  <c r="J833" i="34"/>
  <c r="J834" i="34"/>
  <c r="J835" i="34"/>
  <c r="J836" i="34"/>
  <c r="J837" i="34"/>
  <c r="J838" i="34"/>
  <c r="J839" i="34"/>
  <c r="J840" i="34"/>
  <c r="J841" i="34"/>
  <c r="J842" i="34"/>
  <c r="J843" i="34"/>
  <c r="J844" i="34"/>
  <c r="J845" i="34"/>
  <c r="J846" i="34"/>
  <c r="J847" i="34"/>
  <c r="J848" i="34"/>
  <c r="J849" i="34"/>
  <c r="J850" i="34"/>
  <c r="J851" i="34"/>
  <c r="J852" i="34"/>
  <c r="J853" i="34"/>
  <c r="J854" i="34"/>
  <c r="J855" i="34"/>
  <c r="J856" i="34"/>
  <c r="J857" i="34"/>
  <c r="J858" i="34"/>
  <c r="J859" i="34"/>
  <c r="J860" i="34"/>
  <c r="J861" i="34"/>
  <c r="J862" i="34"/>
  <c r="J863" i="34"/>
  <c r="J864" i="34"/>
  <c r="J865" i="34"/>
  <c r="J866" i="34"/>
  <c r="J867" i="34"/>
  <c r="J868" i="34"/>
  <c r="J869" i="34"/>
  <c r="J870" i="34"/>
  <c r="J871" i="34"/>
  <c r="J872" i="34"/>
  <c r="J873" i="34"/>
  <c r="J874" i="34"/>
  <c r="J875" i="34"/>
  <c r="J876" i="34"/>
  <c r="J877" i="34"/>
  <c r="J878" i="34"/>
  <c r="J879" i="34"/>
  <c r="J880" i="34"/>
  <c r="J881" i="34"/>
  <c r="J882" i="34"/>
  <c r="J883" i="34"/>
  <c r="J884" i="34"/>
  <c r="J885" i="34"/>
  <c r="J886" i="34"/>
  <c r="J887" i="34"/>
  <c r="J888" i="34"/>
  <c r="J889" i="34"/>
  <c r="J890" i="34"/>
  <c r="J891" i="34"/>
  <c r="J892" i="34"/>
  <c r="J893" i="34"/>
  <c r="J894" i="34"/>
  <c r="J895" i="34"/>
  <c r="J896" i="34"/>
  <c r="J897" i="34"/>
  <c r="J898" i="34"/>
  <c r="J899" i="34"/>
  <c r="J900" i="34"/>
  <c r="J901" i="34"/>
  <c r="J902" i="34"/>
  <c r="J903" i="34"/>
  <c r="J904" i="34"/>
  <c r="J905" i="34"/>
  <c r="J906" i="34"/>
  <c r="J907" i="34"/>
  <c r="J908" i="34"/>
  <c r="J909" i="34"/>
  <c r="J910" i="34"/>
  <c r="J911" i="34"/>
  <c r="J912" i="34"/>
  <c r="J913" i="34"/>
  <c r="J914" i="34"/>
  <c r="J915" i="34"/>
  <c r="J916" i="34"/>
  <c r="J917" i="34"/>
  <c r="J918" i="34"/>
  <c r="J919" i="34"/>
  <c r="J920" i="34"/>
  <c r="J921" i="34"/>
  <c r="J922" i="34"/>
  <c r="J923" i="34"/>
  <c r="J924" i="34"/>
  <c r="J925" i="34"/>
  <c r="J926" i="34"/>
  <c r="J927" i="34"/>
  <c r="J928" i="34"/>
  <c r="J929" i="34"/>
  <c r="J930" i="34"/>
  <c r="J931" i="34"/>
  <c r="J932" i="34"/>
  <c r="J933" i="34"/>
  <c r="J934" i="34"/>
  <c r="J935" i="34"/>
  <c r="J936" i="34"/>
  <c r="J937" i="34"/>
  <c r="J938" i="34"/>
  <c r="J939" i="34"/>
  <c r="J940" i="34"/>
  <c r="J941" i="34"/>
  <c r="J942" i="34"/>
  <c r="J943" i="34"/>
  <c r="J944" i="34"/>
  <c r="J945" i="34"/>
  <c r="J946" i="34"/>
  <c r="J947" i="34"/>
  <c r="J948" i="34"/>
  <c r="J949" i="34"/>
  <c r="J950" i="34"/>
  <c r="J951" i="34"/>
  <c r="J2" i="34"/>
  <c r="D6" i="49"/>
  <c r="E6" i="49"/>
  <c r="F6" i="49"/>
  <c r="G6" i="49"/>
  <c r="H6" i="49"/>
  <c r="I6" i="49"/>
  <c r="J6" i="49"/>
  <c r="K6" i="49"/>
  <c r="L6" i="49"/>
  <c r="M6" i="49"/>
  <c r="N6" i="49"/>
  <c r="D8" i="49"/>
  <c r="E8" i="49"/>
  <c r="F8" i="49"/>
  <c r="G8" i="49"/>
  <c r="H8" i="49"/>
  <c r="I8" i="49"/>
  <c r="J8" i="49"/>
  <c r="K8" i="49"/>
  <c r="L8" i="49"/>
  <c r="M8" i="49"/>
  <c r="N8" i="49"/>
  <c r="D9" i="49"/>
  <c r="H9" i="49"/>
  <c r="L9" i="49"/>
  <c r="D10" i="49"/>
  <c r="E10" i="49"/>
  <c r="F10" i="49"/>
  <c r="G10" i="49"/>
  <c r="H10" i="49"/>
  <c r="I10" i="49"/>
  <c r="J10" i="49"/>
  <c r="K10" i="49"/>
  <c r="L10" i="49"/>
  <c r="M10" i="49"/>
  <c r="N10" i="49"/>
  <c r="D2" i="49"/>
  <c r="E2" i="49"/>
  <c r="F2" i="49"/>
  <c r="G2" i="49"/>
  <c r="H2" i="49"/>
  <c r="I2" i="49"/>
  <c r="J2" i="49"/>
  <c r="K2" i="49"/>
  <c r="L2" i="49"/>
  <c r="M2" i="49"/>
  <c r="N2" i="49"/>
  <c r="D3" i="49"/>
  <c r="H3" i="49"/>
  <c r="L3" i="49"/>
  <c r="D4" i="49"/>
  <c r="E4" i="49"/>
  <c r="F4" i="49"/>
  <c r="G4" i="49"/>
  <c r="H4" i="49"/>
  <c r="I4" i="49"/>
  <c r="J4" i="49"/>
  <c r="K4" i="49"/>
  <c r="L4" i="49"/>
  <c r="M4" i="49"/>
  <c r="N4" i="49"/>
  <c r="D40" i="49"/>
  <c r="E40" i="49"/>
  <c r="F40" i="49"/>
  <c r="G40" i="49"/>
  <c r="H40" i="49"/>
  <c r="I40" i="49"/>
  <c r="J40" i="49"/>
  <c r="K40" i="49"/>
  <c r="L40" i="49"/>
  <c r="M40" i="49"/>
  <c r="N40" i="49"/>
  <c r="D41" i="49"/>
  <c r="D42" i="49"/>
  <c r="E42" i="49"/>
  <c r="F42" i="49"/>
  <c r="G42" i="49"/>
  <c r="H42" i="49"/>
  <c r="I42" i="49"/>
  <c r="J42" i="49"/>
  <c r="K42" i="49"/>
  <c r="L42" i="49"/>
  <c r="M42" i="49"/>
  <c r="N42" i="49"/>
  <c r="D43" i="49"/>
  <c r="M43" i="49"/>
  <c r="D36" i="49"/>
  <c r="E36" i="49"/>
  <c r="F36" i="49"/>
  <c r="G36" i="49"/>
  <c r="H36" i="49"/>
  <c r="I36" i="49"/>
  <c r="J36" i="49"/>
  <c r="K36" i="49"/>
  <c r="L36" i="49"/>
  <c r="M36" i="49"/>
  <c r="N36" i="49"/>
  <c r="K37" i="49"/>
  <c r="D38" i="49"/>
  <c r="E38" i="49"/>
  <c r="F38" i="49"/>
  <c r="G38" i="49"/>
  <c r="H38" i="49"/>
  <c r="I38" i="49"/>
  <c r="J38" i="49"/>
  <c r="K38" i="49"/>
  <c r="L38" i="49"/>
  <c r="M38" i="49"/>
  <c r="N38" i="49"/>
  <c r="D34" i="49"/>
  <c r="E34" i="49"/>
  <c r="F34" i="49"/>
  <c r="G34" i="49"/>
  <c r="H34" i="49"/>
  <c r="I34" i="49"/>
  <c r="J34" i="49"/>
  <c r="K34" i="49"/>
  <c r="L34" i="49"/>
  <c r="M34" i="49"/>
  <c r="N34" i="49"/>
  <c r="E35" i="49"/>
  <c r="I35" i="49"/>
  <c r="M35" i="49"/>
  <c r="D30" i="49"/>
  <c r="E30" i="49"/>
  <c r="F30" i="49"/>
  <c r="G30" i="49"/>
  <c r="H30" i="49"/>
  <c r="I30" i="49"/>
  <c r="J30" i="49"/>
  <c r="K30" i="49"/>
  <c r="L30" i="49"/>
  <c r="M30" i="49"/>
  <c r="D32" i="49"/>
  <c r="E32" i="49"/>
  <c r="F32" i="49"/>
  <c r="G32" i="49"/>
  <c r="H32" i="49"/>
  <c r="I32" i="49"/>
  <c r="J32" i="49"/>
  <c r="K32" i="49"/>
  <c r="L32" i="49"/>
  <c r="M32" i="49"/>
  <c r="D22" i="49"/>
  <c r="E22" i="49"/>
  <c r="F22" i="49"/>
  <c r="G22" i="49"/>
  <c r="H22" i="49"/>
  <c r="I22" i="49"/>
  <c r="J22" i="49"/>
  <c r="K22" i="49"/>
  <c r="L22" i="49"/>
  <c r="M22" i="49"/>
  <c r="N22" i="49"/>
  <c r="D24" i="49"/>
  <c r="E24" i="49"/>
  <c r="F24" i="49"/>
  <c r="G24" i="49"/>
  <c r="H24" i="49"/>
  <c r="I24" i="49"/>
  <c r="J24" i="49"/>
  <c r="K24" i="49"/>
  <c r="L24" i="49"/>
  <c r="M24" i="49"/>
  <c r="N24" i="49"/>
  <c r="M25" i="49"/>
  <c r="D26" i="49"/>
  <c r="E26" i="49"/>
  <c r="F26" i="49"/>
  <c r="G26" i="49"/>
  <c r="H26" i="49"/>
  <c r="I26" i="49"/>
  <c r="J26" i="49"/>
  <c r="K26" i="49"/>
  <c r="L26" i="49"/>
  <c r="M26" i="49"/>
  <c r="N26" i="49"/>
  <c r="D28" i="49"/>
  <c r="E28" i="49"/>
  <c r="F28" i="49"/>
  <c r="G28" i="49"/>
  <c r="H28" i="49"/>
  <c r="I28" i="49"/>
  <c r="J28" i="49"/>
  <c r="K28" i="49"/>
  <c r="L28" i="49"/>
  <c r="M28" i="49"/>
  <c r="N28" i="49"/>
  <c r="M29" i="49"/>
  <c r="F16" i="49"/>
  <c r="G16" i="49"/>
  <c r="H16" i="49"/>
  <c r="I16" i="49"/>
  <c r="J16" i="49"/>
  <c r="K16" i="49"/>
  <c r="L16" i="49"/>
  <c r="M16" i="49"/>
  <c r="N16" i="49"/>
  <c r="F18" i="49"/>
  <c r="G18" i="49"/>
  <c r="H18" i="49"/>
  <c r="I18" i="49"/>
  <c r="J18" i="49"/>
  <c r="K18" i="49"/>
  <c r="L18" i="49"/>
  <c r="M18" i="49"/>
  <c r="N18" i="49"/>
  <c r="F20" i="49"/>
  <c r="G20" i="49"/>
  <c r="H20" i="49"/>
  <c r="I20" i="49"/>
  <c r="J20" i="49"/>
  <c r="K20" i="49"/>
  <c r="L20" i="49"/>
  <c r="M20" i="49"/>
  <c r="N20" i="49"/>
  <c r="D16" i="49"/>
  <c r="E16" i="49"/>
  <c r="D18" i="49"/>
  <c r="E18" i="49"/>
  <c r="D20" i="49"/>
  <c r="E20" i="49"/>
  <c r="D14" i="49"/>
  <c r="E14" i="49"/>
  <c r="F14" i="49"/>
  <c r="G14" i="49"/>
  <c r="H14" i="49"/>
  <c r="I14" i="49"/>
  <c r="J14" i="49"/>
  <c r="K14" i="49"/>
  <c r="L14" i="49"/>
  <c r="M14" i="49"/>
  <c r="N14" i="49"/>
  <c r="D12" i="49"/>
  <c r="E12" i="49"/>
  <c r="F12" i="49"/>
  <c r="G12" i="49"/>
  <c r="H12" i="49"/>
  <c r="I12" i="49"/>
  <c r="J12" i="49"/>
  <c r="K12" i="49"/>
  <c r="L12" i="49"/>
  <c r="M12" i="49"/>
  <c r="N12" i="49"/>
  <c r="F48" i="50"/>
  <c r="K27" i="49" s="1"/>
  <c r="F49" i="50"/>
  <c r="L23" i="49" s="1"/>
  <c r="F50" i="50"/>
  <c r="M23" i="49" s="1"/>
  <c r="F51" i="50"/>
  <c r="N25" i="49" s="1"/>
  <c r="F52" i="50"/>
  <c r="C33" i="49" s="1"/>
  <c r="F53" i="50"/>
  <c r="D33" i="49" s="1"/>
  <c r="F54" i="50"/>
  <c r="E31" i="49" s="1"/>
  <c r="F55" i="50"/>
  <c r="F31" i="49" s="1"/>
  <c r="F56" i="50"/>
  <c r="G31" i="49" s="1"/>
  <c r="F57" i="50"/>
  <c r="H31" i="49" s="1"/>
  <c r="F58" i="50"/>
  <c r="I31" i="49" s="1"/>
  <c r="F59" i="50"/>
  <c r="J31" i="49" s="1"/>
  <c r="F60" i="50"/>
  <c r="K31" i="49" s="1"/>
  <c r="F61" i="50"/>
  <c r="L33" i="49" s="1"/>
  <c r="F62" i="50"/>
  <c r="M31" i="49" s="1"/>
  <c r="F63" i="50"/>
  <c r="N33" i="49" s="1"/>
  <c r="F64" i="50"/>
  <c r="C35" i="49" s="1"/>
  <c r="F65" i="50"/>
  <c r="D35" i="49" s="1"/>
  <c r="F66" i="50"/>
  <c r="F67" i="50"/>
  <c r="F35" i="49" s="1"/>
  <c r="F68" i="50"/>
  <c r="G35" i="49" s="1"/>
  <c r="F69" i="50"/>
  <c r="H35" i="49" s="1"/>
  <c r="F70" i="50"/>
  <c r="F71" i="50"/>
  <c r="J35" i="49" s="1"/>
  <c r="F72" i="50"/>
  <c r="K35" i="49" s="1"/>
  <c r="F73" i="50"/>
  <c r="L35" i="49" s="1"/>
  <c r="F74" i="50"/>
  <c r="F75" i="50"/>
  <c r="N35" i="49" s="1"/>
  <c r="F76" i="50"/>
  <c r="C37" i="49" s="1"/>
  <c r="F77" i="50"/>
  <c r="D37" i="49" s="1"/>
  <c r="F78" i="50"/>
  <c r="E37" i="49"/>
  <c r="F79" i="50"/>
  <c r="F37" i="49" s="1"/>
  <c r="F80" i="50"/>
  <c r="G39" i="49" s="1"/>
  <c r="F81" i="50"/>
  <c r="H37" i="49" s="1"/>
  <c r="F82" i="50"/>
  <c r="I37" i="49" s="1"/>
  <c r="F83" i="50"/>
  <c r="J39" i="49" s="1"/>
  <c r="F84" i="50"/>
  <c r="K39" i="49" s="1"/>
  <c r="F85" i="50"/>
  <c r="L39" i="49" s="1"/>
  <c r="F86" i="50"/>
  <c r="M37" i="49" s="1"/>
  <c r="F87" i="50"/>
  <c r="N39" i="49" s="1"/>
  <c r="F88" i="50"/>
  <c r="F90" i="50"/>
  <c r="E41" i="49" s="1"/>
  <c r="F91" i="50"/>
  <c r="F41" i="49" s="1"/>
  <c r="F92" i="50"/>
  <c r="G41" i="49"/>
  <c r="F93" i="50"/>
  <c r="H41" i="49" s="1"/>
  <c r="F94" i="50"/>
  <c r="I41" i="49" s="1"/>
  <c r="F95" i="50"/>
  <c r="J43" i="49" s="1"/>
  <c r="F96" i="50"/>
  <c r="K41" i="49" s="1"/>
  <c r="F97" i="50"/>
  <c r="L41" i="49" s="1"/>
  <c r="F98" i="50"/>
  <c r="M41" i="49" s="1"/>
  <c r="F99" i="50"/>
  <c r="N43" i="49" s="1"/>
  <c r="F5" i="50"/>
  <c r="D5" i="49" s="1"/>
  <c r="F6" i="50"/>
  <c r="E5" i="49" s="1"/>
  <c r="F7" i="50"/>
  <c r="F3" i="49" s="1"/>
  <c r="F8" i="50"/>
  <c r="G5" i="49" s="1"/>
  <c r="F9" i="50"/>
  <c r="H5" i="49" s="1"/>
  <c r="F10" i="50"/>
  <c r="I5" i="49" s="1"/>
  <c r="F11" i="50"/>
  <c r="J3" i="49" s="1"/>
  <c r="F12" i="50"/>
  <c r="K5" i="49" s="1"/>
  <c r="F13" i="50"/>
  <c r="L5" i="49" s="1"/>
  <c r="F14" i="50"/>
  <c r="M5" i="49" s="1"/>
  <c r="F15" i="50"/>
  <c r="N3" i="49" s="1"/>
  <c r="F16" i="50"/>
  <c r="C11" i="49" s="1"/>
  <c r="F17" i="50"/>
  <c r="D7" i="49" s="1"/>
  <c r="F18" i="50"/>
  <c r="E7" i="49" s="1"/>
  <c r="F19" i="50"/>
  <c r="F9" i="49" s="1"/>
  <c r="F20" i="50"/>
  <c r="G7" i="49" s="1"/>
  <c r="F21" i="50"/>
  <c r="H7" i="49" s="1"/>
  <c r="F22" i="50"/>
  <c r="I7" i="49" s="1"/>
  <c r="F23" i="50"/>
  <c r="J9" i="49" s="1"/>
  <c r="F24" i="50"/>
  <c r="K11" i="49" s="1"/>
  <c r="F25" i="50"/>
  <c r="L7" i="49" s="1"/>
  <c r="F26" i="50"/>
  <c r="M7" i="49" s="1"/>
  <c r="F27" i="50"/>
  <c r="N9" i="49" s="1"/>
  <c r="F28" i="50"/>
  <c r="C13" i="49" s="1"/>
  <c r="F29" i="50"/>
  <c r="D13" i="49" s="1"/>
  <c r="F30" i="50"/>
  <c r="E13" i="49" s="1"/>
  <c r="F31" i="50"/>
  <c r="F19" i="49" s="1"/>
  <c r="F32" i="50"/>
  <c r="G15" i="49" s="1"/>
  <c r="F33" i="50"/>
  <c r="H17" i="49" s="1"/>
  <c r="F34" i="50"/>
  <c r="I17" i="49" s="1"/>
  <c r="F35" i="50"/>
  <c r="J19" i="49" s="1"/>
  <c r="F36" i="50"/>
  <c r="K17" i="49" s="1"/>
  <c r="F37" i="50"/>
  <c r="L17" i="49" s="1"/>
  <c r="F38" i="50"/>
  <c r="M17" i="49" s="1"/>
  <c r="F39" i="50"/>
  <c r="N19" i="49" s="1"/>
  <c r="F40" i="50"/>
  <c r="C27" i="49" s="1"/>
  <c r="F41" i="50"/>
  <c r="D23" i="49" s="1"/>
  <c r="F42" i="50"/>
  <c r="E23" i="49" s="1"/>
  <c r="F43" i="50"/>
  <c r="F25" i="49" s="1"/>
  <c r="F44" i="50"/>
  <c r="G27" i="49" s="1"/>
  <c r="F45" i="50"/>
  <c r="H23" i="49" s="1"/>
  <c r="F46" i="50"/>
  <c r="I23" i="49" s="1"/>
  <c r="F47" i="50"/>
  <c r="J25" i="49" s="1"/>
  <c r="B88" i="67"/>
  <c r="B87" i="67"/>
  <c r="B86" i="67"/>
  <c r="B85" i="67"/>
  <c r="B84" i="67"/>
  <c r="B83" i="67"/>
  <c r="B82" i="67"/>
  <c r="A83" i="1"/>
  <c r="BK75" i="1"/>
  <c r="BK76" i="1"/>
  <c r="BK77" i="1"/>
  <c r="BK78" i="1"/>
  <c r="BK79" i="1"/>
  <c r="BK80" i="1"/>
  <c r="D3" i="1"/>
  <c r="BR75" i="1"/>
  <c r="BR76" i="1"/>
  <c r="BR77" i="1"/>
  <c r="BR78" i="1"/>
  <c r="BR79" i="1"/>
  <c r="BR80" i="1"/>
  <c r="ES75" i="1"/>
  <c r="BQ75" i="1" s="1"/>
  <c r="ES76" i="1"/>
  <c r="BQ76" i="1" s="1"/>
  <c r="ES77" i="1"/>
  <c r="BQ77" i="1" s="1"/>
  <c r="ES78" i="1"/>
  <c r="BQ78" i="1" s="1"/>
  <c r="ES79" i="1"/>
  <c r="BQ79" i="1" s="1"/>
  <c r="ES80" i="1"/>
  <c r="BQ80" i="1" s="1"/>
  <c r="BP75" i="1"/>
  <c r="BP76" i="1"/>
  <c r="BP77" i="1"/>
  <c r="BP78" i="1"/>
  <c r="BP79" i="1"/>
  <c r="BP80" i="1"/>
  <c r="DG75" i="1"/>
  <c r="BO75" i="1" s="1"/>
  <c r="DG76" i="1"/>
  <c r="BO76" i="1" s="1"/>
  <c r="DG77" i="1"/>
  <c r="BO77" i="1" s="1"/>
  <c r="DG78" i="1"/>
  <c r="BO78" i="1" s="1"/>
  <c r="DG79" i="1"/>
  <c r="BO79" i="1" s="1"/>
  <c r="DG80" i="1"/>
  <c r="BO80" i="1" s="1"/>
  <c r="DO11" i="1"/>
  <c r="DQ11" i="1"/>
  <c r="DR11" i="1"/>
  <c r="DS11" i="1"/>
  <c r="BL75" i="1"/>
  <c r="BL76" i="1"/>
  <c r="BL77" i="1"/>
  <c r="BL78" i="1"/>
  <c r="BL79" i="1"/>
  <c r="BL80" i="1"/>
  <c r="B8" i="51"/>
  <c r="A8" i="51" s="1"/>
  <c r="B9" i="51"/>
  <c r="B10" i="51"/>
  <c r="B11" i="51"/>
  <c r="B12" i="51"/>
  <c r="B13" i="51"/>
  <c r="B14" i="51"/>
  <c r="B15" i="51"/>
  <c r="B16" i="51"/>
  <c r="B17" i="51"/>
  <c r="B18" i="51"/>
  <c r="B19" i="51"/>
  <c r="B20" i="51"/>
  <c r="B21" i="51"/>
  <c r="B22" i="51"/>
  <c r="B23" i="51"/>
  <c r="B24" i="51"/>
  <c r="B25" i="51"/>
  <c r="B26" i="51"/>
  <c r="B27" i="51"/>
  <c r="B28" i="51"/>
  <c r="B29" i="51"/>
  <c r="B30" i="51"/>
  <c r="B31" i="51"/>
  <c r="B32" i="51"/>
  <c r="B33" i="51"/>
  <c r="B34" i="51"/>
  <c r="B35" i="51"/>
  <c r="B36" i="51"/>
  <c r="B37" i="51"/>
  <c r="B38" i="51"/>
  <c r="B39" i="51"/>
  <c r="B40" i="51"/>
  <c r="B41" i="51"/>
  <c r="B42" i="51"/>
  <c r="B43" i="51"/>
  <c r="B44" i="51"/>
  <c r="B45" i="51"/>
  <c r="B46" i="51"/>
  <c r="B47" i="51"/>
  <c r="B48" i="51"/>
  <c r="B49" i="51"/>
  <c r="B50" i="51"/>
  <c r="B51" i="51"/>
  <c r="B52" i="51"/>
  <c r="B53" i="51"/>
  <c r="B54" i="51"/>
  <c r="B55" i="51"/>
  <c r="B56" i="51"/>
  <c r="B57" i="51"/>
  <c r="B58" i="51"/>
  <c r="A58" i="51" s="1"/>
  <c r="B59" i="51"/>
  <c r="A59" i="51" s="1"/>
  <c r="B60" i="51"/>
  <c r="A60" i="51" s="1"/>
  <c r="B61" i="51"/>
  <c r="A61" i="51" s="1"/>
  <c r="B62" i="51"/>
  <c r="A62" i="51" s="1"/>
  <c r="B63" i="51"/>
  <c r="A63" i="51" s="1"/>
  <c r="B64" i="51"/>
  <c r="B65" i="51"/>
  <c r="A65" i="51" s="1"/>
  <c r="B66" i="51"/>
  <c r="B67" i="51"/>
  <c r="A67" i="51" s="1"/>
  <c r="B68" i="51"/>
  <c r="B69" i="51"/>
  <c r="A69" i="51" s="1"/>
  <c r="B74" i="51"/>
  <c r="A74" i="51" s="1"/>
  <c r="B75" i="51"/>
  <c r="A75" i="51" s="1"/>
  <c r="B77" i="51"/>
  <c r="A77" i="51" s="1"/>
  <c r="B87" i="55"/>
  <c r="B86" i="55"/>
  <c r="B87" i="53"/>
  <c r="B86" i="53"/>
  <c r="B88" i="65"/>
  <c r="B87" i="65"/>
  <c r="B86" i="65"/>
  <c r="B85" i="65"/>
  <c r="B84" i="65"/>
  <c r="B83" i="65"/>
  <c r="B82" i="65"/>
  <c r="Q81" i="36"/>
  <c r="Q89" i="36"/>
  <c r="Q90" i="36"/>
  <c r="Q91" i="36"/>
  <c r="A73" i="1"/>
  <c r="A74" i="1"/>
  <c r="A75" i="1"/>
  <c r="A76" i="1"/>
  <c r="A77" i="1"/>
  <c r="A78" i="1"/>
  <c r="A79" i="1"/>
  <c r="A80" i="1"/>
  <c r="A12" i="1"/>
  <c r="A13" i="1"/>
  <c r="A14" i="1"/>
  <c r="A15" i="1"/>
  <c r="A16" i="1"/>
  <c r="A17" i="1"/>
  <c r="A18" i="1"/>
  <c r="A19" i="1"/>
  <c r="A20" i="1"/>
  <c r="A21" i="1"/>
  <c r="A22" i="1"/>
  <c r="A23" i="1"/>
  <c r="A24" i="1"/>
  <c r="A25" i="1"/>
  <c r="A26" i="1"/>
  <c r="A27" i="1"/>
  <c r="A28" i="1"/>
  <c r="A29" i="1"/>
  <c r="A30" i="1"/>
  <c r="A31" i="1"/>
  <c r="A32" i="1"/>
  <c r="A33" i="1"/>
  <c r="A34" i="1"/>
  <c r="A35" i="1"/>
  <c r="A36" i="1"/>
  <c r="A37" i="1"/>
  <c r="A38" i="1"/>
  <c r="A39" i="1"/>
  <c r="A40" i="1"/>
  <c r="A41" i="1"/>
  <c r="A42" i="1"/>
  <c r="A43" i="1"/>
  <c r="A44" i="1"/>
  <c r="A45" i="1"/>
  <c r="A46" i="1"/>
  <c r="A47" i="1"/>
  <c r="A48" i="1"/>
  <c r="A49" i="1"/>
  <c r="A50" i="1"/>
  <c r="A51" i="1"/>
  <c r="A52" i="1"/>
  <c r="A53" i="1"/>
  <c r="A54" i="1"/>
  <c r="A55" i="1"/>
  <c r="A56" i="1"/>
  <c r="A57" i="1"/>
  <c r="A58" i="1"/>
  <c r="A59" i="1"/>
  <c r="A60" i="1"/>
  <c r="A61" i="1"/>
  <c r="A62" i="1"/>
  <c r="A63" i="1"/>
  <c r="A64" i="1"/>
  <c r="A65" i="1"/>
  <c r="A66" i="1"/>
  <c r="A67" i="1"/>
  <c r="A68" i="1"/>
  <c r="A69" i="1"/>
  <c r="A70" i="1"/>
  <c r="A71" i="1"/>
  <c r="A72" i="1"/>
  <c r="A11" i="1"/>
  <c r="C12" i="49"/>
  <c r="B87" i="64"/>
  <c r="B86" i="64"/>
  <c r="B83" i="64"/>
  <c r="B84" i="64"/>
  <c r="B85" i="64"/>
  <c r="B88" i="64"/>
  <c r="B82" i="64"/>
  <c r="N30" i="49"/>
  <c r="N31" i="49"/>
  <c r="N32" i="49"/>
  <c r="B88" i="42"/>
  <c r="B87" i="42"/>
  <c r="B86" i="42"/>
  <c r="B85" i="42"/>
  <c r="B84" i="42"/>
  <c r="B83" i="42"/>
  <c r="B88" i="41"/>
  <c r="B87" i="41"/>
  <c r="B86" i="41"/>
  <c r="B85" i="41"/>
  <c r="B84" i="41"/>
  <c r="B83" i="41"/>
  <c r="B88" i="40"/>
  <c r="B87" i="40"/>
  <c r="B86" i="40"/>
  <c r="B85" i="40"/>
  <c r="B84" i="40"/>
  <c r="B83" i="40"/>
  <c r="B88" i="39"/>
  <c r="B87" i="39"/>
  <c r="B86" i="39"/>
  <c r="B85" i="39"/>
  <c r="B84" i="39"/>
  <c r="B83" i="39"/>
  <c r="B88" i="38"/>
  <c r="B87" i="38"/>
  <c r="B86" i="38"/>
  <c r="B85" i="38"/>
  <c r="B84" i="38"/>
  <c r="B83" i="38"/>
  <c r="B88" i="37"/>
  <c r="B87" i="37"/>
  <c r="B86" i="37"/>
  <c r="B85" i="37"/>
  <c r="B84" i="37"/>
  <c r="B83" i="37"/>
  <c r="B86" i="36"/>
  <c r="Q86" i="36"/>
  <c r="B87" i="36"/>
  <c r="Q87" i="36" s="1"/>
  <c r="A99" i="1"/>
  <c r="A98" i="1"/>
  <c r="A97" i="1"/>
  <c r="A96" i="1"/>
  <c r="D95" i="1"/>
  <c r="A95" i="1"/>
  <c r="D94" i="1"/>
  <c r="A94" i="1"/>
  <c r="J92" i="1"/>
  <c r="A92" i="1"/>
  <c r="A90" i="1"/>
  <c r="A89" i="1"/>
  <c r="A88" i="1"/>
  <c r="A87" i="1"/>
  <c r="D86" i="1"/>
  <c r="A86" i="1"/>
  <c r="D85" i="1"/>
  <c r="A85" i="1"/>
  <c r="C24" i="49"/>
  <c r="C25" i="49"/>
  <c r="F4" i="50"/>
  <c r="J83" i="1"/>
  <c r="D33" i="51"/>
  <c r="D27" i="51"/>
  <c r="D17" i="51"/>
  <c r="D15" i="51"/>
  <c r="C9" i="49"/>
  <c r="B82" i="55"/>
  <c r="B83" i="55"/>
  <c r="B84" i="55"/>
  <c r="B85" i="55"/>
  <c r="B88" i="55"/>
  <c r="C22" i="49"/>
  <c r="C23" i="49"/>
  <c r="C42" i="49"/>
  <c r="C40" i="49"/>
  <c r="C38" i="49"/>
  <c r="C36" i="49"/>
  <c r="C34" i="49"/>
  <c r="C32" i="49"/>
  <c r="C30" i="49"/>
  <c r="C21" i="49"/>
  <c r="C20" i="49"/>
  <c r="C18" i="49"/>
  <c r="C17" i="49"/>
  <c r="C16" i="49"/>
  <c r="C14" i="49"/>
  <c r="C2" i="49"/>
  <c r="B82" i="53"/>
  <c r="B83" i="53"/>
  <c r="B84" i="53"/>
  <c r="B85" i="53"/>
  <c r="B88" i="53"/>
  <c r="D77" i="51"/>
  <c r="C77" i="51"/>
  <c r="D75" i="51"/>
  <c r="C75" i="51"/>
  <c r="D74" i="51"/>
  <c r="C74" i="51"/>
  <c r="C53" i="51"/>
  <c r="C41" i="51"/>
  <c r="C37" i="51"/>
  <c r="C33" i="51"/>
  <c r="C32" i="51"/>
  <c r="D30" i="51"/>
  <c r="D29" i="51"/>
  <c r="D28" i="51"/>
  <c r="C27" i="51"/>
  <c r="D26" i="51"/>
  <c r="C26" i="51"/>
  <c r="D25" i="51"/>
  <c r="C25" i="51"/>
  <c r="D24" i="51"/>
  <c r="C24" i="51"/>
  <c r="D23" i="51"/>
  <c r="C23" i="51"/>
  <c r="D22" i="51"/>
  <c r="C22" i="51"/>
  <c r="D19" i="51"/>
  <c r="D16" i="51"/>
  <c r="B82" i="42"/>
  <c r="B82" i="41"/>
  <c r="B82" i="40"/>
  <c r="B82" i="39"/>
  <c r="B82" i="38"/>
  <c r="B82" i="37"/>
  <c r="C28" i="49"/>
  <c r="C26" i="49"/>
  <c r="C10" i="49"/>
  <c r="C8" i="49"/>
  <c r="C6" i="49"/>
  <c r="C5" i="49"/>
  <c r="C4" i="49"/>
  <c r="C3" i="49"/>
  <c r="B82" i="36"/>
  <c r="Q82" i="36" s="1"/>
  <c r="B83" i="36"/>
  <c r="Q83" i="36" s="1"/>
  <c r="B84" i="36"/>
  <c r="Q84" i="36" s="1"/>
  <c r="B85" i="36"/>
  <c r="Q85" i="36" s="1"/>
  <c r="B88" i="36"/>
  <c r="Q88" i="36" s="1"/>
  <c r="C43" i="49"/>
  <c r="C41" i="49"/>
  <c r="C29" i="49"/>
  <c r="C3" i="51"/>
  <c r="C14" i="51"/>
  <c r="C68" i="51"/>
  <c r="C65" i="51"/>
  <c r="C64" i="51"/>
  <c r="C59" i="51"/>
  <c r="C58" i="51"/>
  <c r="C55" i="51"/>
  <c r="C43" i="51"/>
  <c r="C40" i="51"/>
  <c r="H92" i="1"/>
  <c r="A64" i="51"/>
  <c r="A68" i="51"/>
  <c r="A66" i="51"/>
  <c r="H39" i="49"/>
  <c r="ES73" i="1"/>
  <c r="BQ73" i="1" s="1"/>
  <c r="BR73" i="1"/>
  <c r="ES74" i="1"/>
  <c r="BQ74" i="1" s="1"/>
  <c r="BR74" i="1"/>
  <c r="ES66" i="1"/>
  <c r="BQ66" i="1" s="1"/>
  <c r="BR66" i="1"/>
  <c r="BK68" i="1"/>
  <c r="ES67" i="1"/>
  <c r="BQ67" i="1" s="1"/>
  <c r="BR67" i="1"/>
  <c r="BK67" i="1"/>
  <c r="DG67" i="1"/>
  <c r="BO67" i="1" s="1"/>
  <c r="BP67" i="1"/>
  <c r="BL68" i="1"/>
  <c r="DG68" i="1"/>
  <c r="BO68" i="1" s="1"/>
  <c r="BP68" i="1"/>
  <c r="BL67" i="1"/>
  <c r="ES64" i="1"/>
  <c r="BQ64" i="1" s="1"/>
  <c r="BR64" i="1"/>
  <c r="ES61" i="1"/>
  <c r="BQ61" i="1" s="1"/>
  <c r="BR61" i="1"/>
  <c r="ES62" i="1"/>
  <c r="BQ62" i="1" s="1"/>
  <c r="BR62" i="1"/>
  <c r="ES65" i="1"/>
  <c r="BQ65" i="1" s="1"/>
  <c r="BR65" i="1"/>
  <c r="DG61" i="1"/>
  <c r="BO61" i="1" s="1"/>
  <c r="BP61" i="1"/>
  <c r="BK61" i="1"/>
  <c r="BL61" i="1"/>
  <c r="DG74" i="1"/>
  <c r="BO74" i="1" s="1"/>
  <c r="BP74" i="1"/>
  <c r="BL74" i="1"/>
  <c r="BK74" i="1"/>
  <c r="ES68" i="1"/>
  <c r="BQ68" i="1" s="1"/>
  <c r="BR68" i="1"/>
  <c r="DG62" i="1"/>
  <c r="BO62" i="1" s="1"/>
  <c r="BP62" i="1"/>
  <c r="BL62" i="1"/>
  <c r="BK62" i="1"/>
  <c r="DG65" i="1"/>
  <c r="BO65" i="1" s="1"/>
  <c r="BP65" i="1"/>
  <c r="BL65" i="1"/>
  <c r="BK65" i="1"/>
  <c r="DG73" i="1"/>
  <c r="BO73" i="1" s="1"/>
  <c r="BP73" i="1"/>
  <c r="BL73" i="1"/>
  <c r="BK73" i="1"/>
  <c r="DG72" i="1"/>
  <c r="BO72" i="1" s="1"/>
  <c r="BP72" i="1"/>
  <c r="BK72" i="1"/>
  <c r="BL72" i="1"/>
  <c r="ES72" i="1"/>
  <c r="BQ72" i="1" s="1"/>
  <c r="BR72" i="1"/>
  <c r="DG64" i="1"/>
  <c r="BO64" i="1" s="1"/>
  <c r="BP64" i="1"/>
  <c r="BL64" i="1"/>
  <c r="BK64" i="1"/>
  <c r="DG66" i="1"/>
  <c r="BO66" i="1" s="1"/>
  <c r="BP66" i="1"/>
  <c r="BK66" i="1"/>
  <c r="BL66" i="1"/>
  <c r="DG71" i="1"/>
  <c r="BO71" i="1" s="1"/>
  <c r="BP71" i="1"/>
  <c r="BK71" i="1"/>
  <c r="BL71" i="1"/>
  <c r="ES70" i="1"/>
  <c r="BQ70" i="1" s="1"/>
  <c r="BR70" i="1"/>
  <c r="ES63" i="1"/>
  <c r="BQ63" i="1" s="1"/>
  <c r="BR63" i="1"/>
  <c r="ES69" i="1"/>
  <c r="BQ69" i="1" s="1"/>
  <c r="BR69" i="1"/>
  <c r="ES71" i="1"/>
  <c r="BQ71" i="1" s="1"/>
  <c r="BR71" i="1"/>
  <c r="DG70" i="1"/>
  <c r="BO70" i="1" s="1"/>
  <c r="BP70" i="1"/>
  <c r="BL70" i="1"/>
  <c r="BK70" i="1"/>
  <c r="DG63" i="1"/>
  <c r="BO63" i="1" s="1"/>
  <c r="BP63" i="1"/>
  <c r="BL63" i="1"/>
  <c r="BK63" i="1"/>
  <c r="DG69" i="1"/>
  <c r="BO69" i="1" s="1"/>
  <c r="BP69" i="1"/>
  <c r="BL69" i="1"/>
  <c r="BK69" i="1"/>
  <c r="I43" i="49"/>
  <c r="G43" i="49"/>
  <c r="E43" i="49"/>
  <c r="F39" i="49"/>
  <c r="E39" i="49"/>
  <c r="D39" i="49"/>
  <c r="G37" i="49" l="1"/>
  <c r="L15" i="49"/>
  <c r="H15" i="49"/>
  <c r="D15" i="49"/>
  <c r="E19" i="49"/>
  <c r="L19" i="49"/>
  <c r="H19" i="49"/>
  <c r="L29" i="49"/>
  <c r="H29" i="49"/>
  <c r="D29" i="49"/>
  <c r="L25" i="49"/>
  <c r="H25" i="49"/>
  <c r="D25" i="49"/>
  <c r="H33" i="49"/>
  <c r="L31" i="49"/>
  <c r="D31" i="49"/>
  <c r="L37" i="49"/>
  <c r="L43" i="49"/>
  <c r="M3" i="49"/>
  <c r="I3" i="49"/>
  <c r="E3" i="49"/>
  <c r="M9" i="49"/>
  <c r="I9" i="49"/>
  <c r="E9" i="49"/>
  <c r="H83" i="1"/>
  <c r="A44" i="51"/>
  <c r="M15" i="49"/>
  <c r="I15" i="49"/>
  <c r="E15" i="49"/>
  <c r="E21" i="49"/>
  <c r="E17" i="49"/>
  <c r="M19" i="49"/>
  <c r="I19" i="49"/>
  <c r="I29" i="49"/>
  <c r="E29" i="49"/>
  <c r="I25" i="49"/>
  <c r="E25" i="49"/>
  <c r="I1" i="34"/>
  <c r="K13" i="49"/>
  <c r="G21" i="49"/>
  <c r="K23" i="49"/>
  <c r="N41" i="49"/>
  <c r="G11" i="49"/>
  <c r="K7" i="49"/>
  <c r="F43" i="49"/>
  <c r="C39" i="49"/>
  <c r="C31" i="49"/>
  <c r="C7" i="49"/>
  <c r="C15" i="49"/>
  <c r="C19" i="49"/>
  <c r="A41" i="51"/>
  <c r="A37" i="51"/>
  <c r="A33" i="51"/>
  <c r="A29" i="51"/>
  <c r="A25" i="51"/>
  <c r="A21" i="51"/>
  <c r="A17" i="51"/>
  <c r="A13" i="51"/>
  <c r="A23" i="51"/>
  <c r="M13" i="49"/>
  <c r="I13" i="49"/>
  <c r="N15" i="49"/>
  <c r="J15" i="49"/>
  <c r="F15" i="49"/>
  <c r="D21" i="49"/>
  <c r="D19" i="49"/>
  <c r="D17" i="49"/>
  <c r="M21" i="49"/>
  <c r="I21" i="49"/>
  <c r="K19" i="49"/>
  <c r="G19" i="49"/>
  <c r="K29" i="49"/>
  <c r="G29" i="49"/>
  <c r="M27" i="49"/>
  <c r="I27" i="49"/>
  <c r="E27" i="49"/>
  <c r="K25" i="49"/>
  <c r="G25" i="49"/>
  <c r="J33" i="49"/>
  <c r="F33" i="49"/>
  <c r="M39" i="49"/>
  <c r="I39" i="49"/>
  <c r="N37" i="49"/>
  <c r="J37" i="49"/>
  <c r="K43" i="49"/>
  <c r="K3" i="49"/>
  <c r="G3" i="49"/>
  <c r="M11" i="49"/>
  <c r="I11" i="49"/>
  <c r="E11" i="49"/>
  <c r="K9" i="49"/>
  <c r="G9" i="49"/>
  <c r="G13" i="49"/>
  <c r="K21" i="49"/>
  <c r="G17" i="49"/>
  <c r="G23" i="49"/>
  <c r="N13" i="49"/>
  <c r="J13" i="49"/>
  <c r="F13" i="49"/>
  <c r="K15" i="49"/>
  <c r="N21" i="49"/>
  <c r="J21" i="49"/>
  <c r="F21" i="49"/>
  <c r="N17" i="49"/>
  <c r="J17" i="49"/>
  <c r="F17" i="49"/>
  <c r="N27" i="49"/>
  <c r="J27" i="49"/>
  <c r="F27" i="49"/>
  <c r="N23" i="49"/>
  <c r="J23" i="49"/>
  <c r="F23" i="49"/>
  <c r="K33" i="49"/>
  <c r="G33" i="49"/>
  <c r="N5" i="49"/>
  <c r="J5" i="49"/>
  <c r="F5" i="49"/>
  <c r="N11" i="49"/>
  <c r="J11" i="49"/>
  <c r="F11" i="49"/>
  <c r="N7" i="49"/>
  <c r="J7" i="49"/>
  <c r="F7" i="49"/>
  <c r="J41" i="49"/>
  <c r="H43" i="49"/>
  <c r="L13" i="49"/>
  <c r="H13" i="49"/>
  <c r="L21" i="49"/>
  <c r="H21" i="49"/>
  <c r="N29" i="49"/>
  <c r="J29" i="49"/>
  <c r="F29" i="49"/>
  <c r="L27" i="49"/>
  <c r="H27" i="49"/>
  <c r="D27" i="49"/>
  <c r="M33" i="49"/>
  <c r="I33" i="49"/>
  <c r="E33" i="49"/>
  <c r="L11" i="49"/>
  <c r="H11" i="49"/>
  <c r="D11" i="49"/>
  <c r="L6" i="41"/>
  <c r="M6" i="64"/>
  <c r="L6" i="65"/>
  <c r="L6" i="42"/>
  <c r="L6" i="36"/>
  <c r="C6" i="36" s="1"/>
  <c r="L6" i="67"/>
  <c r="L6" i="37"/>
  <c r="I6" i="37" s="1"/>
  <c r="M6" i="55"/>
  <c r="L6" i="40"/>
  <c r="M6" i="53"/>
  <c r="C6" i="53" s="1"/>
  <c r="L6" i="38"/>
  <c r="A47" i="51"/>
  <c r="A34" i="51"/>
  <c r="A30" i="51"/>
  <c r="A26" i="51"/>
  <c r="A22" i="51"/>
  <c r="A14" i="51"/>
  <c r="A10" i="51"/>
  <c r="A54" i="51"/>
  <c r="A24" i="51"/>
  <c r="A32" i="51"/>
  <c r="A16" i="51"/>
  <c r="A15" i="51"/>
  <c r="A28" i="51"/>
  <c r="A20" i="51"/>
  <c r="A9" i="51"/>
  <c r="A42" i="51"/>
  <c r="A55" i="51"/>
  <c r="A19" i="51"/>
  <c r="A18" i="51"/>
  <c r="A50" i="51"/>
  <c r="A38" i="51"/>
  <c r="A36" i="51"/>
  <c r="L6" i="39"/>
  <c r="A40" i="51"/>
  <c r="A12" i="51"/>
  <c r="A56" i="51"/>
  <c r="A52" i="51"/>
  <c r="A48" i="51"/>
  <c r="A53" i="51"/>
  <c r="I3" i="1"/>
  <c r="A46" i="51"/>
  <c r="A31" i="51"/>
  <c r="A27" i="51"/>
  <c r="A11" i="51"/>
  <c r="A49" i="51"/>
  <c r="A51" i="51"/>
  <c r="A43" i="51"/>
  <c r="I6" i="36"/>
  <c r="B79" i="36" s="1"/>
  <c r="A45" i="51"/>
  <c r="A35" i="51"/>
  <c r="A39" i="51"/>
  <c r="A57" i="51"/>
  <c r="AR6" i="1"/>
  <c r="P6" i="51"/>
  <c r="C6" i="64"/>
  <c r="J6" i="64"/>
  <c r="J6" i="53"/>
  <c r="D42" i="53" s="1"/>
  <c r="C6" i="67"/>
  <c r="C6" i="37" l="1"/>
  <c r="J6" i="67"/>
  <c r="C76" i="53"/>
  <c r="C51" i="36"/>
  <c r="C6" i="41"/>
  <c r="I6" i="41"/>
  <c r="C32" i="36"/>
  <c r="D30" i="36"/>
  <c r="B18" i="36"/>
  <c r="C19" i="36"/>
  <c r="D23" i="36"/>
  <c r="C58" i="36"/>
  <c r="D75" i="36"/>
  <c r="B76" i="36"/>
  <c r="C30" i="36"/>
  <c r="D40" i="36"/>
  <c r="H6" i="1"/>
  <c r="B31" i="36"/>
  <c r="D64" i="36"/>
  <c r="B40" i="36"/>
  <c r="C61" i="36"/>
  <c r="B29" i="36"/>
  <c r="C78" i="36"/>
  <c r="B52" i="36"/>
  <c r="D28" i="36"/>
  <c r="C73" i="36"/>
  <c r="B78" i="36"/>
  <c r="C36" i="36"/>
  <c r="B24" i="36"/>
  <c r="D72" i="36"/>
  <c r="D42" i="36"/>
  <c r="B59" i="36"/>
  <c r="D12" i="36"/>
  <c r="D20" i="36"/>
  <c r="C42" i="36"/>
  <c r="B64" i="36"/>
  <c r="D54" i="36"/>
  <c r="D61" i="36"/>
  <c r="C43" i="36"/>
  <c r="D56" i="36"/>
  <c r="D71" i="36"/>
  <c r="C33" i="36"/>
  <c r="C56" i="36"/>
  <c r="C20" i="36"/>
  <c r="B67" i="36"/>
  <c r="A67" i="36" s="1"/>
  <c r="D37" i="36"/>
  <c r="D69" i="36"/>
  <c r="C31" i="36"/>
  <c r="D52" i="36"/>
  <c r="C17" i="36"/>
  <c r="C70" i="36"/>
  <c r="C48" i="36"/>
  <c r="B77" i="36"/>
  <c r="C39" i="36"/>
  <c r="D73" i="36"/>
  <c r="B58" i="36"/>
  <c r="B50" i="36"/>
  <c r="D13" i="36"/>
  <c r="D21" i="36"/>
  <c r="D18" i="36"/>
  <c r="D51" i="36"/>
  <c r="C34" i="36"/>
  <c r="D15" i="36"/>
  <c r="B54" i="36"/>
  <c r="B75" i="36"/>
  <c r="D76" i="36"/>
  <c r="C29" i="36"/>
  <c r="C45" i="36"/>
  <c r="B69" i="36"/>
  <c r="B71" i="36"/>
  <c r="N71" i="36" s="1"/>
  <c r="C68" i="36"/>
  <c r="B34" i="36"/>
  <c r="B43" i="36"/>
  <c r="C40" i="36"/>
  <c r="C46" i="36"/>
  <c r="B20" i="36"/>
  <c r="D32" i="36"/>
  <c r="B19" i="36"/>
  <c r="D34" i="36"/>
  <c r="D24" i="36"/>
  <c r="B51" i="36"/>
  <c r="P51" i="36" s="1"/>
  <c r="Q51" i="36" s="1"/>
  <c r="B55" i="36"/>
  <c r="C77" i="36"/>
  <c r="D55" i="36"/>
  <c r="D16" i="36"/>
  <c r="D58" i="36"/>
  <c r="C21" i="36"/>
  <c r="C13" i="36"/>
  <c r="C14" i="36"/>
  <c r="D50" i="36"/>
  <c r="C38" i="36"/>
  <c r="B48" i="36"/>
  <c r="P48" i="36" s="1"/>
  <c r="Q48" i="36" s="1"/>
  <c r="C16" i="36"/>
  <c r="B33" i="36"/>
  <c r="D17" i="36"/>
  <c r="D48" i="36"/>
  <c r="D45" i="36"/>
  <c r="C15" i="36"/>
  <c r="B62" i="36"/>
  <c r="C74" i="36"/>
  <c r="B28" i="36"/>
  <c r="C57" i="36"/>
  <c r="C11" i="36"/>
  <c r="C18" i="36"/>
  <c r="D11" i="36"/>
  <c r="D25" i="36"/>
  <c r="C44" i="36"/>
  <c r="D57" i="36"/>
  <c r="C49" i="36"/>
  <c r="B39" i="36"/>
  <c r="D38" i="36"/>
  <c r="D53" i="36"/>
  <c r="B42" i="36"/>
  <c r="D29" i="36"/>
  <c r="B37" i="36"/>
  <c r="P37" i="36" s="1"/>
  <c r="Q37" i="36" s="1"/>
  <c r="B27" i="36"/>
  <c r="C35" i="36"/>
  <c r="B23" i="36"/>
  <c r="C37" i="36"/>
  <c r="B57" i="36"/>
  <c r="B72" i="36"/>
  <c r="A72" i="36" s="1"/>
  <c r="D78" i="36"/>
  <c r="B73" i="36"/>
  <c r="D68" i="36"/>
  <c r="D43" i="36"/>
  <c r="C72" i="36"/>
  <c r="C50" i="36"/>
  <c r="D59" i="36"/>
  <c r="C47" i="36"/>
  <c r="C22" i="36"/>
  <c r="B26" i="36"/>
  <c r="B56" i="36"/>
  <c r="C24" i="36"/>
  <c r="B30" i="36"/>
  <c r="B74" i="36"/>
  <c r="A74" i="36" s="1"/>
  <c r="C76" i="36"/>
  <c r="C79" i="36"/>
  <c r="C59" i="36"/>
  <c r="D31" i="36"/>
  <c r="C62" i="36"/>
  <c r="D77" i="36"/>
  <c r="C28" i="36"/>
  <c r="D80" i="36"/>
  <c r="C65" i="36"/>
  <c r="B63" i="36"/>
  <c r="O63" i="36" s="1"/>
  <c r="B13" i="36"/>
  <c r="P13" i="36" s="1"/>
  <c r="Q13" i="36" s="1"/>
  <c r="C64" i="36"/>
  <c r="D47" i="36"/>
  <c r="B35" i="36"/>
  <c r="B15" i="36"/>
  <c r="N15" i="36" s="1"/>
  <c r="O15" i="36" s="1"/>
  <c r="D62" i="36"/>
  <c r="D26" i="36"/>
  <c r="C80" i="36"/>
  <c r="D44" i="36"/>
  <c r="D74" i="36"/>
  <c r="D36" i="36"/>
  <c r="B14" i="36"/>
  <c r="P14" i="36" s="1"/>
  <c r="Q14" i="36" s="1"/>
  <c r="A78" i="36"/>
  <c r="C23" i="36"/>
  <c r="B60" i="36"/>
  <c r="P60" i="36" s="1"/>
  <c r="Q60" i="36" s="1"/>
  <c r="D27" i="36"/>
  <c r="B32" i="36"/>
  <c r="B80" i="36"/>
  <c r="B61" i="36"/>
  <c r="N61" i="36" s="1"/>
  <c r="G6" i="51"/>
  <c r="B66" i="36"/>
  <c r="C6" i="40"/>
  <c r="I6" i="40"/>
  <c r="B70" i="36"/>
  <c r="D41" i="36"/>
  <c r="B68" i="36"/>
  <c r="A68" i="36" s="1"/>
  <c r="D14" i="36"/>
  <c r="D49" i="36"/>
  <c r="B45" i="36"/>
  <c r="D46" i="36"/>
  <c r="B16" i="36"/>
  <c r="P16" i="36" s="1"/>
  <c r="Q16" i="36" s="1"/>
  <c r="B11" i="36"/>
  <c r="C55" i="36"/>
  <c r="B47" i="36"/>
  <c r="B21" i="36"/>
  <c r="I6" i="39"/>
  <c r="C6" i="39"/>
  <c r="AN7" i="1"/>
  <c r="O7" i="51"/>
  <c r="C23" i="53"/>
  <c r="B52" i="53"/>
  <c r="I6" i="38"/>
  <c r="C6" i="38"/>
  <c r="H7" i="51"/>
  <c r="L7" i="1"/>
  <c r="C6" i="65"/>
  <c r="J6" i="65"/>
  <c r="B23" i="53"/>
  <c r="O23" i="53" s="1"/>
  <c r="P23" i="53" s="1"/>
  <c r="G3" i="51"/>
  <c r="J6" i="55"/>
  <c r="C6" i="55"/>
  <c r="I6" i="42"/>
  <c r="C6" i="42"/>
  <c r="O79" i="36"/>
  <c r="N79" i="36"/>
  <c r="A79" i="36"/>
  <c r="P79" i="36"/>
  <c r="Q79" i="36" s="1"/>
  <c r="D69" i="53"/>
  <c r="D33" i="53"/>
  <c r="C17" i="53"/>
  <c r="B17" i="53"/>
  <c r="D22" i="53"/>
  <c r="C53" i="36"/>
  <c r="C26" i="36"/>
  <c r="C60" i="36"/>
  <c r="B36" i="36"/>
  <c r="C27" i="53"/>
  <c r="C18" i="53"/>
  <c r="C13" i="53"/>
  <c r="C47" i="53"/>
  <c r="N40" i="36"/>
  <c r="O40" i="36" s="1"/>
  <c r="O66" i="36"/>
  <c r="N66" i="36"/>
  <c r="C68" i="37"/>
  <c r="B16" i="37"/>
  <c r="B44" i="37"/>
  <c r="C12" i="37"/>
  <c r="C46" i="37"/>
  <c r="D60" i="37"/>
  <c r="B61" i="37"/>
  <c r="D43" i="37"/>
  <c r="C73" i="37"/>
  <c r="B31" i="37"/>
  <c r="D15" i="37"/>
  <c r="D52" i="37"/>
  <c r="C26" i="37"/>
  <c r="D18" i="37"/>
  <c r="D74" i="37"/>
  <c r="C45" i="37"/>
  <c r="B69" i="37"/>
  <c r="D27" i="37"/>
  <c r="D64" i="37"/>
  <c r="B51" i="37"/>
  <c r="C11" i="37"/>
  <c r="B12" i="37"/>
  <c r="D51" i="37"/>
  <c r="C59" i="37"/>
  <c r="B23" i="37"/>
  <c r="C44" i="37"/>
  <c r="C56" i="37"/>
  <c r="D21" i="37"/>
  <c r="B25" i="37"/>
  <c r="D38" i="37"/>
  <c r="D72" i="37"/>
  <c r="B54" i="37"/>
  <c r="B55" i="37"/>
  <c r="B67" i="37"/>
  <c r="D79" i="37"/>
  <c r="D63" i="37"/>
  <c r="D54" i="37"/>
  <c r="C52" i="37"/>
  <c r="B80" i="37"/>
  <c r="C61" i="37"/>
  <c r="B47" i="37"/>
  <c r="B21" i="37"/>
  <c r="C78" i="37"/>
  <c r="L6" i="1"/>
  <c r="C17" i="37"/>
  <c r="C35" i="37"/>
  <c r="C72" i="37"/>
  <c r="C77" i="37"/>
  <c r="C38" i="37"/>
  <c r="C50" i="37"/>
  <c r="C22" i="37"/>
  <c r="C66" i="37"/>
  <c r="B49" i="37"/>
  <c r="C23" i="37"/>
  <c r="C15" i="37"/>
  <c r="C80" i="37"/>
  <c r="B35" i="37"/>
  <c r="D11" i="37"/>
  <c r="D66" i="37"/>
  <c r="D28" i="37"/>
  <c r="B50" i="37"/>
  <c r="C79" i="37"/>
  <c r="B45" i="37"/>
  <c r="D48" i="37"/>
  <c r="D13" i="37"/>
  <c r="B40" i="37"/>
  <c r="D32" i="37"/>
  <c r="C25" i="37"/>
  <c r="D62" i="37"/>
  <c r="B64" i="37"/>
  <c r="A64" i="37" s="1"/>
  <c r="D31" i="37"/>
  <c r="B75" i="37"/>
  <c r="A75" i="37" s="1"/>
  <c r="C49" i="37"/>
  <c r="D44" i="37"/>
  <c r="C27" i="37"/>
  <c r="D34" i="37"/>
  <c r="B56" i="37"/>
  <c r="C64" i="37"/>
  <c r="D59" i="37"/>
  <c r="D71" i="37"/>
  <c r="C37" i="37"/>
  <c r="B53" i="37"/>
  <c r="D12" i="37"/>
  <c r="H6" i="51"/>
  <c r="B77" i="37"/>
  <c r="A77" i="37" s="1"/>
  <c r="C43" i="37"/>
  <c r="B46" i="37"/>
  <c r="D29" i="37"/>
  <c r="B76" i="37"/>
  <c r="D56" i="37"/>
  <c r="B62" i="37"/>
  <c r="D23" i="37"/>
  <c r="C24" i="37"/>
  <c r="C42" i="37"/>
  <c r="B59" i="37"/>
  <c r="C69" i="37"/>
  <c r="C65" i="37"/>
  <c r="C16" i="37"/>
  <c r="C70" i="37"/>
  <c r="B19" i="37"/>
  <c r="D41" i="37"/>
  <c r="C18" i="37"/>
  <c r="B29" i="37"/>
  <c r="D25" i="37"/>
  <c r="D78" i="37"/>
  <c r="B33" i="37"/>
  <c r="B42" i="37"/>
  <c r="C51" i="37"/>
  <c r="B57" i="37"/>
  <c r="B41" i="37"/>
  <c r="C30" i="37"/>
  <c r="B17" i="37"/>
  <c r="C74" i="37"/>
  <c r="B28" i="37"/>
  <c r="D47" i="37"/>
  <c r="D37" i="37"/>
  <c r="C21" i="37"/>
  <c r="D80" i="37"/>
  <c r="C76" i="37"/>
  <c r="D24" i="37"/>
  <c r="D77" i="37"/>
  <c r="D39" i="37"/>
  <c r="C33" i="37"/>
  <c r="B72" i="37"/>
  <c r="B15" i="37"/>
  <c r="B37" i="37"/>
  <c r="D40" i="37"/>
  <c r="B74" i="37"/>
  <c r="B24" i="37"/>
  <c r="D65" i="37"/>
  <c r="B13" i="37"/>
  <c r="C71" i="37"/>
  <c r="C32" i="37"/>
  <c r="D70" i="37"/>
  <c r="D76" i="37"/>
  <c r="C57" i="37"/>
  <c r="C53" i="37"/>
  <c r="D20" i="37"/>
  <c r="B26" i="37"/>
  <c r="B71" i="37"/>
  <c r="A71" i="37" s="1"/>
  <c r="C62" i="37"/>
  <c r="A80" i="37"/>
  <c r="B73" i="37"/>
  <c r="A73" i="37" s="1"/>
  <c r="C31" i="37"/>
  <c r="D69" i="37"/>
  <c r="D42" i="37"/>
  <c r="D61" i="37"/>
  <c r="A67" i="37"/>
  <c r="D55" i="37"/>
  <c r="B60" i="37"/>
  <c r="B79" i="37"/>
  <c r="C48" i="37"/>
  <c r="D26" i="37"/>
  <c r="C14" i="37"/>
  <c r="D67" i="37"/>
  <c r="C54" i="37"/>
  <c r="D36" i="37"/>
  <c r="D39" i="36"/>
  <c r="B22" i="36"/>
  <c r="B65" i="36"/>
  <c r="C63" i="36"/>
  <c r="C41" i="36"/>
  <c r="H7" i="1"/>
  <c r="B53" i="36"/>
  <c r="D22" i="36"/>
  <c r="B12" i="36"/>
  <c r="A15" i="36" s="1"/>
  <c r="C66" i="36"/>
  <c r="D35" i="36"/>
  <c r="D63" i="36"/>
  <c r="C12" i="36"/>
  <c r="D65" i="36"/>
  <c r="B41" i="36"/>
  <c r="C71" i="36"/>
  <c r="D66" i="36"/>
  <c r="C75" i="36"/>
  <c r="B46" i="36"/>
  <c r="C52" i="36"/>
  <c r="G7" i="51"/>
  <c r="C67" i="36"/>
  <c r="C69" i="36"/>
  <c r="C54" i="36"/>
  <c r="D19" i="36"/>
  <c r="D67" i="36"/>
  <c r="B49" i="36"/>
  <c r="D79" i="36"/>
  <c r="C27" i="36"/>
  <c r="C25" i="36"/>
  <c r="B44" i="36"/>
  <c r="D33" i="36"/>
  <c r="D70" i="36"/>
  <c r="B25" i="36"/>
  <c r="A80" i="36"/>
  <c r="P34" i="36"/>
  <c r="Q34" i="36" s="1"/>
  <c r="P54" i="36"/>
  <c r="Q54" i="36" s="1"/>
  <c r="D36" i="53"/>
  <c r="D16" i="53"/>
  <c r="D70" i="53"/>
  <c r="B60" i="53"/>
  <c r="O60" i="53" s="1"/>
  <c r="P60" i="53" s="1"/>
  <c r="D52" i="53"/>
  <c r="B17" i="36"/>
  <c r="A18" i="36" s="1"/>
  <c r="D60" i="36"/>
  <c r="B38" i="36"/>
  <c r="O74" i="36"/>
  <c r="N74" i="36"/>
  <c r="O80" i="36"/>
  <c r="N80" i="36"/>
  <c r="P80" i="36"/>
  <c r="Q80" i="36" s="1"/>
  <c r="O52" i="53"/>
  <c r="P52" i="53" s="1"/>
  <c r="C48" i="53"/>
  <c r="B27" i="53"/>
  <c r="D54" i="53"/>
  <c r="B80" i="53"/>
  <c r="A80" i="53" s="1"/>
  <c r="D68" i="53"/>
  <c r="D19" i="53"/>
  <c r="B48" i="53"/>
  <c r="C72" i="53"/>
  <c r="D45" i="53"/>
  <c r="B51" i="53"/>
  <c r="D21" i="53"/>
  <c r="B73" i="53"/>
  <c r="A73" i="53" s="1"/>
  <c r="C28" i="53"/>
  <c r="D17" i="53"/>
  <c r="C54" i="53"/>
  <c r="C45" i="53"/>
  <c r="B75" i="53"/>
  <c r="A75" i="53" s="1"/>
  <c r="C32" i="53"/>
  <c r="D65" i="53"/>
  <c r="D23" i="53"/>
  <c r="C58" i="53"/>
  <c r="B18" i="53"/>
  <c r="C35" i="53"/>
  <c r="D11" i="53"/>
  <c r="C61" i="53"/>
  <c r="B54" i="53"/>
  <c r="B56" i="53"/>
  <c r="B25" i="53"/>
  <c r="D74" i="53"/>
  <c r="B36" i="53"/>
  <c r="C65" i="53"/>
  <c r="B11" i="53"/>
  <c r="C16" i="53"/>
  <c r="D43" i="53"/>
  <c r="B41" i="53"/>
  <c r="C49" i="53"/>
  <c r="C63" i="53"/>
  <c r="D77" i="53"/>
  <c r="D51" i="53"/>
  <c r="AR7" i="1"/>
  <c r="AS63" i="1" s="1"/>
  <c r="C26" i="53"/>
  <c r="D53" i="53"/>
  <c r="B76" i="53"/>
  <c r="A76" i="53" s="1"/>
  <c r="D32" i="53"/>
  <c r="C44" i="53"/>
  <c r="C62" i="53"/>
  <c r="B15" i="53"/>
  <c r="B79" i="53"/>
  <c r="C71" i="53"/>
  <c r="D26" i="53"/>
  <c r="B65" i="53"/>
  <c r="A65" i="53" s="1"/>
  <c r="B67" i="53"/>
  <c r="A67" i="53" s="1"/>
  <c r="B59" i="53"/>
  <c r="B28" i="53"/>
  <c r="C80" i="53"/>
  <c r="C31" i="53"/>
  <c r="D78" i="53"/>
  <c r="D25" i="53"/>
  <c r="D12" i="53"/>
  <c r="B38" i="53"/>
  <c r="C57" i="53"/>
  <c r="C43" i="53"/>
  <c r="C19" i="53"/>
  <c r="D46" i="53"/>
  <c r="D48" i="53"/>
  <c r="C55" i="53"/>
  <c r="D40" i="53"/>
  <c r="D13" i="53"/>
  <c r="C36" i="53"/>
  <c r="D80" i="53"/>
  <c r="C74" i="53"/>
  <c r="D18" i="53"/>
  <c r="A11" i="53"/>
  <c r="B21" i="53"/>
  <c r="D71" i="53"/>
  <c r="B40" i="53"/>
  <c r="B66" i="53"/>
  <c r="D24" i="53"/>
  <c r="C30" i="53"/>
  <c r="C73" i="53"/>
  <c r="C60" i="53"/>
  <c r="B47" i="53"/>
  <c r="C78" i="53"/>
  <c r="B55" i="53"/>
  <c r="B45" i="53"/>
  <c r="C24" i="53"/>
  <c r="B71" i="53"/>
  <c r="A71" i="53" s="1"/>
  <c r="C53" i="53"/>
  <c r="C22" i="53"/>
  <c r="D15" i="53"/>
  <c r="B20" i="53"/>
  <c r="B29" i="53"/>
  <c r="D59" i="53"/>
  <c r="C37" i="53"/>
  <c r="D14" i="53"/>
  <c r="B31" i="53"/>
  <c r="D49" i="53"/>
  <c r="C75" i="53"/>
  <c r="D63" i="53"/>
  <c r="B22" i="53"/>
  <c r="B77" i="53"/>
  <c r="C15" i="53"/>
  <c r="C66" i="53"/>
  <c r="C59" i="53"/>
  <c r="B53" i="53"/>
  <c r="D39" i="53"/>
  <c r="D60" i="53"/>
  <c r="B61" i="53"/>
  <c r="A61" i="53" s="1"/>
  <c r="D72" i="53"/>
  <c r="B62" i="53"/>
  <c r="A62" i="53" s="1"/>
  <c r="B69" i="53"/>
  <c r="A69" i="53" s="1"/>
  <c r="C25" i="53"/>
  <c r="B32" i="53"/>
  <c r="D27" i="53"/>
  <c r="C77" i="53"/>
  <c r="D61" i="53"/>
  <c r="B44" i="53"/>
  <c r="B74" i="53"/>
  <c r="C41" i="53"/>
  <c r="C64" i="53"/>
  <c r="B37" i="53"/>
  <c r="D55" i="53"/>
  <c r="C40" i="53"/>
  <c r="D50" i="53"/>
  <c r="C29" i="53"/>
  <c r="B34" i="53"/>
  <c r="B39" i="53"/>
  <c r="C68" i="53"/>
  <c r="D76" i="53"/>
  <c r="C12" i="53"/>
  <c r="D64" i="53"/>
  <c r="D37" i="53"/>
  <c r="B35" i="53"/>
  <c r="B57" i="53"/>
  <c r="P7" i="51"/>
  <c r="N28" i="36"/>
  <c r="O28" i="36" s="1"/>
  <c r="O62" i="36"/>
  <c r="N33" i="36"/>
  <c r="O33" i="36" s="1"/>
  <c r="N48" i="36"/>
  <c r="O48" i="36" s="1"/>
  <c r="P15" i="36"/>
  <c r="Q15" i="36" s="1"/>
  <c r="N45" i="36"/>
  <c r="O45" i="36" s="1"/>
  <c r="N60" i="36"/>
  <c r="O60" i="36" s="1"/>
  <c r="O72" i="36"/>
  <c r="N72" i="36"/>
  <c r="N57" i="36"/>
  <c r="O57" i="36" s="1"/>
  <c r="N27" i="36"/>
  <c r="O27" i="36" s="1"/>
  <c r="N37" i="36"/>
  <c r="O37" i="36" s="1"/>
  <c r="N42" i="36"/>
  <c r="O42" i="36" s="1"/>
  <c r="D57" i="53"/>
  <c r="D35" i="53"/>
  <c r="D62" i="53"/>
  <c r="B64" i="53"/>
  <c r="D34" i="53"/>
  <c r="B72" i="53"/>
  <c r="A72" i="53" s="1"/>
  <c r="D58" i="53"/>
  <c r="D20" i="53"/>
  <c r="D66" i="53"/>
  <c r="D30" i="53"/>
  <c r="C51" i="53"/>
  <c r="D47" i="53"/>
  <c r="C33" i="53"/>
  <c r="A77" i="53"/>
  <c r="B58" i="53"/>
  <c r="C21" i="53"/>
  <c r="D79" i="53"/>
  <c r="D67" i="53"/>
  <c r="C42" i="53"/>
  <c r="B26" i="53"/>
  <c r="B42" i="53"/>
  <c r="N13" i="36"/>
  <c r="O13" i="36" s="1"/>
  <c r="O76" i="36"/>
  <c r="N76" i="36"/>
  <c r="N16" i="36"/>
  <c r="O16" i="36" s="1"/>
  <c r="O61" i="36"/>
  <c r="N47" i="36"/>
  <c r="O47" i="36" s="1"/>
  <c r="N50" i="36"/>
  <c r="O50" i="36" s="1"/>
  <c r="N58" i="36"/>
  <c r="O58" i="36" s="1"/>
  <c r="O77" i="36"/>
  <c r="N77" i="36"/>
  <c r="N56" i="36"/>
  <c r="O56" i="36" s="1"/>
  <c r="N73" i="36"/>
  <c r="N20" i="36"/>
  <c r="O20" i="36" s="1"/>
  <c r="N34" i="36"/>
  <c r="O34" i="36" s="1"/>
  <c r="N75" i="36"/>
  <c r="O75" i="36"/>
  <c r="N54" i="36"/>
  <c r="O54" i="36" s="1"/>
  <c r="DQ1" i="1"/>
  <c r="AS62" i="1"/>
  <c r="AS80" i="1"/>
  <c r="EC1" i="1"/>
  <c r="CD1" i="1"/>
  <c r="AS66" i="1"/>
  <c r="EP1" i="1"/>
  <c r="CQ1" i="1"/>
  <c r="AS75" i="1"/>
  <c r="DD1" i="1"/>
  <c r="AS76" i="1"/>
  <c r="AS69" i="1"/>
  <c r="P11" i="36"/>
  <c r="Q11" i="36" s="1"/>
  <c r="A74" i="53"/>
  <c r="B13" i="53"/>
  <c r="D31" i="53"/>
  <c r="B78" i="53"/>
  <c r="A78" i="53" s="1"/>
  <c r="B33" i="53"/>
  <c r="B16" i="53"/>
  <c r="C14" i="53"/>
  <c r="C56" i="53"/>
  <c r="D73" i="53"/>
  <c r="C70" i="53"/>
  <c r="A79" i="53"/>
  <c r="D56" i="53"/>
  <c r="B43" i="53"/>
  <c r="C79" i="53"/>
  <c r="C50" i="53"/>
  <c r="D28" i="53"/>
  <c r="D44" i="53"/>
  <c r="B14" i="53"/>
  <c r="C20" i="53"/>
  <c r="B19" i="53"/>
  <c r="N63" i="36"/>
  <c r="N67" i="36"/>
  <c r="O67" i="36"/>
  <c r="O64" i="36"/>
  <c r="N32" i="36"/>
  <c r="O32" i="36" s="1"/>
  <c r="AZ7" i="1"/>
  <c r="R7" i="51"/>
  <c r="O70" i="36"/>
  <c r="N70" i="36"/>
  <c r="O68" i="36"/>
  <c r="N68" i="36"/>
  <c r="N14" i="36"/>
  <c r="O14" i="36" s="1"/>
  <c r="N55" i="36"/>
  <c r="O55" i="36" s="1"/>
  <c r="N51" i="36"/>
  <c r="O51" i="36" s="1"/>
  <c r="N19" i="36"/>
  <c r="O19" i="36" s="1"/>
  <c r="N78" i="36"/>
  <c r="O78" i="36"/>
  <c r="N29" i="36"/>
  <c r="O29" i="36" s="1"/>
  <c r="B13" i="64"/>
  <c r="B44" i="64"/>
  <c r="D32" i="64"/>
  <c r="C66" i="64"/>
  <c r="D51" i="64"/>
  <c r="B58" i="64"/>
  <c r="B35" i="64"/>
  <c r="D77" i="64"/>
  <c r="B70" i="64"/>
  <c r="A70" i="64" s="1"/>
  <c r="D70" i="64"/>
  <c r="D35" i="64"/>
  <c r="D31" i="64"/>
  <c r="C52" i="64"/>
  <c r="B26" i="64"/>
  <c r="B76" i="64"/>
  <c r="A76" i="64" s="1"/>
  <c r="C40" i="64"/>
  <c r="C78" i="64"/>
  <c r="B51" i="64"/>
  <c r="B36" i="64"/>
  <c r="B40" i="64"/>
  <c r="C79" i="64"/>
  <c r="B39" i="64"/>
  <c r="AZ6" i="1"/>
  <c r="C30" i="64"/>
  <c r="B20" i="64"/>
  <c r="C68" i="64"/>
  <c r="D46" i="64"/>
  <c r="R6" i="51"/>
  <c r="B79" i="64"/>
  <c r="A79" i="64" s="1"/>
  <c r="B56" i="64"/>
  <c r="D18" i="64"/>
  <c r="D52" i="64"/>
  <c r="D58" i="64"/>
  <c r="D40" i="64"/>
  <c r="C16" i="64"/>
  <c r="D67" i="64"/>
  <c r="D27" i="64"/>
  <c r="D43" i="64"/>
  <c r="B59" i="64"/>
  <c r="D50" i="64"/>
  <c r="D24" i="64"/>
  <c r="C23" i="64"/>
  <c r="B71" i="64"/>
  <c r="A71" i="64" s="1"/>
  <c r="B77" i="64"/>
  <c r="C47" i="64"/>
  <c r="B61" i="64"/>
  <c r="A61" i="64" s="1"/>
  <c r="C76" i="64"/>
  <c r="D79" i="64"/>
  <c r="C19" i="64"/>
  <c r="D62" i="64"/>
  <c r="C63" i="64"/>
  <c r="C32" i="64"/>
  <c r="C58" i="64"/>
  <c r="C65" i="64"/>
  <c r="D76" i="64"/>
  <c r="D71" i="64"/>
  <c r="C67" i="64"/>
  <c r="A77" i="64"/>
  <c r="C31" i="64"/>
  <c r="B49" i="64"/>
  <c r="B43" i="64"/>
  <c r="B12" i="64"/>
  <c r="B31" i="64"/>
  <c r="D20" i="64"/>
  <c r="D23" i="64"/>
  <c r="C33" i="64"/>
  <c r="D34" i="64"/>
  <c r="B34" i="64"/>
  <c r="B29" i="64"/>
  <c r="C56" i="64"/>
  <c r="C21" i="64"/>
  <c r="C43" i="64"/>
  <c r="B15" i="64"/>
  <c r="D16" i="64"/>
  <c r="C35" i="64"/>
  <c r="C57" i="64"/>
  <c r="D65" i="64"/>
  <c r="C53" i="64"/>
  <c r="D36" i="64"/>
  <c r="B75" i="64"/>
  <c r="A75" i="64" s="1"/>
  <c r="B55" i="64"/>
  <c r="B54" i="64"/>
  <c r="C15" i="64"/>
  <c r="C48" i="64"/>
  <c r="C59" i="64"/>
  <c r="D47" i="64"/>
  <c r="C36" i="64"/>
  <c r="C51" i="64"/>
  <c r="C38" i="64"/>
  <c r="B53" i="64"/>
  <c r="D42" i="64"/>
  <c r="C70" i="64"/>
  <c r="B17" i="64"/>
  <c r="D29" i="64"/>
  <c r="C75" i="64"/>
  <c r="C55" i="64"/>
  <c r="B74" i="64"/>
  <c r="B37" i="64"/>
  <c r="C20" i="64"/>
  <c r="B16" i="64"/>
  <c r="D28" i="64"/>
  <c r="D78" i="64"/>
  <c r="D44" i="64"/>
  <c r="B11" i="64"/>
  <c r="B18" i="64"/>
  <c r="D73" i="64"/>
  <c r="C25" i="64"/>
  <c r="D41" i="64"/>
  <c r="C60" i="64"/>
  <c r="B67" i="64"/>
  <c r="A67" i="64" s="1"/>
  <c r="B62" i="64"/>
  <c r="A62" i="64" s="1"/>
  <c r="C73" i="64"/>
  <c r="D22" i="64"/>
  <c r="C34" i="64"/>
  <c r="D13" i="64"/>
  <c r="C37" i="64"/>
  <c r="D12" i="64"/>
  <c r="C24" i="64"/>
  <c r="B73" i="64"/>
  <c r="A73" i="64" s="1"/>
  <c r="B78" i="64"/>
  <c r="A78" i="64" s="1"/>
  <c r="B22" i="64"/>
  <c r="B65" i="64"/>
  <c r="A65" i="64" s="1"/>
  <c r="C54" i="64"/>
  <c r="D61" i="64"/>
  <c r="D11" i="64"/>
  <c r="C74" i="64"/>
  <c r="D15" i="64"/>
  <c r="C42" i="64"/>
  <c r="D63" i="64"/>
  <c r="B42" i="64"/>
  <c r="C61" i="64"/>
  <c r="D54" i="64"/>
  <c r="D56" i="64"/>
  <c r="D69" i="64"/>
  <c r="C80" i="64"/>
  <c r="D75" i="64"/>
  <c r="D53" i="64"/>
  <c r="D48" i="64"/>
  <c r="B23" i="64"/>
  <c r="D14" i="64"/>
  <c r="C49" i="64"/>
  <c r="C69" i="64"/>
  <c r="B48" i="64"/>
  <c r="B66" i="64"/>
  <c r="A66" i="64" s="1"/>
  <c r="B41" i="64"/>
  <c r="C14" i="64"/>
  <c r="C13" i="64"/>
  <c r="C18" i="64"/>
  <c r="C17" i="64"/>
  <c r="D57" i="64"/>
  <c r="C26" i="64"/>
  <c r="B47" i="64"/>
  <c r="D21" i="64"/>
  <c r="D72" i="64"/>
  <c r="D55" i="64"/>
  <c r="B45" i="64"/>
  <c r="B63" i="64"/>
  <c r="A63" i="64" s="1"/>
  <c r="B50" i="64"/>
  <c r="D45" i="64"/>
  <c r="C27" i="64"/>
  <c r="D25" i="64"/>
  <c r="D60" i="64"/>
  <c r="D66" i="64"/>
  <c r="B32" i="64"/>
  <c r="B80" i="64"/>
  <c r="A80" i="64" s="1"/>
  <c r="B28" i="64"/>
  <c r="B52" i="64"/>
  <c r="B19" i="64"/>
  <c r="C29" i="64"/>
  <c r="D33" i="64"/>
  <c r="B60" i="64"/>
  <c r="B24" i="64"/>
  <c r="D39" i="64"/>
  <c r="D68" i="64"/>
  <c r="B33" i="64"/>
  <c r="B57" i="64"/>
  <c r="C71" i="64"/>
  <c r="C62" i="64"/>
  <c r="D19" i="64"/>
  <c r="C39" i="64"/>
  <c r="C11" i="64"/>
  <c r="D38" i="64"/>
  <c r="B38" i="64"/>
  <c r="B68" i="64"/>
  <c r="A68" i="64" s="1"/>
  <c r="B25" i="64"/>
  <c r="C77" i="64"/>
  <c r="C45" i="64"/>
  <c r="B21" i="64"/>
  <c r="A74" i="64"/>
  <c r="A12" i="64"/>
  <c r="B69" i="64"/>
  <c r="A69" i="64" s="1"/>
  <c r="C41" i="64"/>
  <c r="B64" i="64"/>
  <c r="A64" i="64" s="1"/>
  <c r="D26" i="64"/>
  <c r="C72" i="64"/>
  <c r="D37" i="64"/>
  <c r="B30" i="64"/>
  <c r="D74" i="64"/>
  <c r="B14" i="64"/>
  <c r="C64" i="64"/>
  <c r="B27" i="64"/>
  <c r="C44" i="64"/>
  <c r="B46" i="64"/>
  <c r="D30" i="64"/>
  <c r="D64" i="64"/>
  <c r="C46" i="64"/>
  <c r="C22" i="64"/>
  <c r="C12" i="64"/>
  <c r="D17" i="64"/>
  <c r="D49" i="64"/>
  <c r="C50" i="64"/>
  <c r="B72" i="64"/>
  <c r="A72" i="64" s="1"/>
  <c r="C28" i="64"/>
  <c r="D59" i="64"/>
  <c r="D80" i="64"/>
  <c r="P61" i="36"/>
  <c r="Q61" i="36" s="1"/>
  <c r="P64" i="36"/>
  <c r="Q64" i="36" s="1"/>
  <c r="P47" i="36"/>
  <c r="Q47" i="36" s="1"/>
  <c r="P63" i="36"/>
  <c r="Q63" i="36" s="1"/>
  <c r="A66" i="53"/>
  <c r="A64" i="53"/>
  <c r="D38" i="53"/>
  <c r="C38" i="53"/>
  <c r="B63" i="53"/>
  <c r="A63" i="53" s="1"/>
  <c r="C67" i="53"/>
  <c r="B12" i="53"/>
  <c r="B68" i="53"/>
  <c r="A68" i="53" s="1"/>
  <c r="C46" i="53"/>
  <c r="C11" i="53"/>
  <c r="C52" i="53"/>
  <c r="B70" i="53"/>
  <c r="A70" i="53" s="1"/>
  <c r="B46" i="53"/>
  <c r="D75" i="53"/>
  <c r="D29" i="53"/>
  <c r="B24" i="53"/>
  <c r="D41" i="53"/>
  <c r="B50" i="53"/>
  <c r="C34" i="53"/>
  <c r="C69" i="53"/>
  <c r="C39" i="53"/>
  <c r="B30" i="53"/>
  <c r="B49" i="53"/>
  <c r="A22" i="67"/>
  <c r="D65" i="67"/>
  <c r="B35" i="67"/>
  <c r="M35" i="67" s="1"/>
  <c r="A25" i="67"/>
  <c r="A69" i="67"/>
  <c r="A40" i="67"/>
  <c r="A66" i="67"/>
  <c r="A27" i="67"/>
  <c r="A52" i="67"/>
  <c r="A44" i="67"/>
  <c r="A39" i="67"/>
  <c r="C43" i="67"/>
  <c r="A61" i="67"/>
  <c r="B34" i="67"/>
  <c r="M34" i="67" s="1"/>
  <c r="A46" i="67"/>
  <c r="A45" i="67"/>
  <c r="A64" i="67"/>
  <c r="A56" i="67"/>
  <c r="A76" i="67"/>
  <c r="A78" i="67"/>
  <c r="A49" i="67"/>
  <c r="A58" i="67"/>
  <c r="D33" i="67"/>
  <c r="B48" i="67"/>
  <c r="M48" i="67" s="1"/>
  <c r="A43" i="67"/>
  <c r="B65" i="67"/>
  <c r="M65" i="67" s="1"/>
  <c r="B66" i="67"/>
  <c r="M66" i="67" s="1"/>
  <c r="A72" i="67"/>
  <c r="A14" i="67"/>
  <c r="A21" i="67"/>
  <c r="D35" i="67"/>
  <c r="A42" i="67"/>
  <c r="A38" i="67"/>
  <c r="A33" i="67"/>
  <c r="A32" i="67"/>
  <c r="D77" i="67"/>
  <c r="A36" i="67"/>
  <c r="A70" i="67"/>
  <c r="A11" i="67"/>
  <c r="A15" i="67"/>
  <c r="D39" i="67"/>
  <c r="C67" i="67"/>
  <c r="B67" i="67"/>
  <c r="M67" i="67" s="1"/>
  <c r="C70" i="67"/>
  <c r="B19" i="67"/>
  <c r="M19" i="67" s="1"/>
  <c r="A24" i="67"/>
  <c r="A28" i="67"/>
  <c r="D71" i="67"/>
  <c r="D80" i="67"/>
  <c r="B68" i="67"/>
  <c r="M68" i="67" s="1"/>
  <c r="B78" i="67"/>
  <c r="M78" i="67" s="1"/>
  <c r="B37" i="67"/>
  <c r="M37" i="67" s="1"/>
  <c r="B50" i="67"/>
  <c r="M50" i="67" s="1"/>
  <c r="B64" i="67"/>
  <c r="M64" i="67" s="1"/>
  <c r="B73" i="67"/>
  <c r="M73" i="67" s="1"/>
  <c r="D63" i="67"/>
  <c r="B41" i="67"/>
  <c r="M41" i="67" s="1"/>
  <c r="C11" i="67"/>
  <c r="D15" i="67"/>
  <c r="C52" i="67"/>
  <c r="D12" i="67"/>
  <c r="C32" i="67"/>
  <c r="D42" i="67"/>
  <c r="D17" i="67"/>
  <c r="D52" i="67"/>
  <c r="B74" i="67"/>
  <c r="M74" i="67" s="1"/>
  <c r="D34" i="67"/>
  <c r="C35" i="67"/>
  <c r="D28" i="67"/>
  <c r="C38" i="67"/>
  <c r="A80" i="67"/>
  <c r="D30" i="67"/>
  <c r="C29" i="67"/>
  <c r="B75" i="67"/>
  <c r="M75" i="67" s="1"/>
  <c r="A48" i="67"/>
  <c r="A53" i="67"/>
  <c r="B61" i="67"/>
  <c r="M61" i="67" s="1"/>
  <c r="A47" i="67"/>
  <c r="A57" i="67"/>
  <c r="A77" i="67"/>
  <c r="A59" i="67"/>
  <c r="A68" i="67"/>
  <c r="A13" i="67"/>
  <c r="B28" i="67"/>
  <c r="M28" i="67" s="1"/>
  <c r="C80" i="67"/>
  <c r="A17" i="67"/>
  <c r="A62" i="67"/>
  <c r="A31" i="67"/>
  <c r="A54" i="67"/>
  <c r="AN6" i="1"/>
  <c r="C40" i="67"/>
  <c r="A12" i="67"/>
  <c r="A74" i="67"/>
  <c r="D32" i="67"/>
  <c r="A79" i="67"/>
  <c r="A20" i="67"/>
  <c r="D21" i="67"/>
  <c r="D16" i="67"/>
  <c r="B51" i="67"/>
  <c r="M51" i="67" s="1"/>
  <c r="B16" i="67"/>
  <c r="M16" i="67" s="1"/>
  <c r="D11" i="67"/>
  <c r="C54" i="67"/>
  <c r="B57" i="67"/>
  <c r="M57" i="67" s="1"/>
  <c r="C58" i="67"/>
  <c r="D20" i="67"/>
  <c r="C75" i="67"/>
  <c r="A60" i="67"/>
  <c r="C22" i="67"/>
  <c r="C78" i="67"/>
  <c r="D60" i="67"/>
  <c r="B76" i="67"/>
  <c r="M76" i="67" s="1"/>
  <c r="D70" i="67"/>
  <c r="D14" i="67"/>
  <c r="D61" i="67"/>
  <c r="B77" i="67"/>
  <c r="M77" i="67" s="1"/>
  <c r="C25" i="67"/>
  <c r="B25" i="67"/>
  <c r="M25" i="67" s="1"/>
  <c r="D50" i="67"/>
  <c r="A34" i="67"/>
  <c r="B29" i="67"/>
  <c r="M29" i="67" s="1"/>
  <c r="B79" i="67"/>
  <c r="M79" i="67" s="1"/>
  <c r="C39" i="67"/>
  <c r="C37" i="67"/>
  <c r="A35" i="67"/>
  <c r="A73" i="67"/>
  <c r="A26" i="67"/>
  <c r="B70" i="67"/>
  <c r="M70" i="67" s="1"/>
  <c r="D59" i="67"/>
  <c r="B80" i="67"/>
  <c r="M80" i="67" s="1"/>
  <c r="D75" i="67"/>
  <c r="C23" i="67"/>
  <c r="A55" i="67"/>
  <c r="A67" i="67"/>
  <c r="B72" i="67"/>
  <c r="M72" i="67" s="1"/>
  <c r="C20" i="67"/>
  <c r="C51" i="67"/>
  <c r="D43" i="67"/>
  <c r="C55" i="67"/>
  <c r="D27" i="67"/>
  <c r="C36" i="67"/>
  <c r="B24" i="67"/>
  <c r="M24" i="67" s="1"/>
  <c r="D79" i="67"/>
  <c r="B20" i="67"/>
  <c r="M20" i="67" s="1"/>
  <c r="C44" i="67"/>
  <c r="C18" i="67"/>
  <c r="D22" i="67"/>
  <c r="C31" i="67"/>
  <c r="A16" i="67"/>
  <c r="C19" i="67"/>
  <c r="B59" i="67"/>
  <c r="M59" i="67" s="1"/>
  <c r="B21" i="67"/>
  <c r="B26" i="67"/>
  <c r="M26" i="67" s="1"/>
  <c r="D54" i="67"/>
  <c r="B30" i="67"/>
  <c r="M30" i="67" s="1"/>
  <c r="D68" i="67"/>
  <c r="D38" i="67"/>
  <c r="C13" i="67"/>
  <c r="D64" i="67"/>
  <c r="B53" i="67"/>
  <c r="M53" i="67" s="1"/>
  <c r="C16" i="67"/>
  <c r="C49" i="67"/>
  <c r="C53" i="67"/>
  <c r="B33" i="67"/>
  <c r="M33" i="67" s="1"/>
  <c r="D36" i="67"/>
  <c r="D26" i="67"/>
  <c r="C68" i="67"/>
  <c r="D72" i="67"/>
  <c r="A65" i="67"/>
  <c r="A50" i="67"/>
  <c r="A37" i="67"/>
  <c r="A51" i="67"/>
  <c r="C79" i="67"/>
  <c r="D49" i="67"/>
  <c r="B69" i="67"/>
  <c r="M69" i="67" s="1"/>
  <c r="C45" i="67"/>
  <c r="A18" i="67"/>
  <c r="O6" i="51"/>
  <c r="B15" i="67"/>
  <c r="M15" i="67" s="1"/>
  <c r="B27" i="67"/>
  <c r="M27" i="67" s="1"/>
  <c r="D57" i="67"/>
  <c r="B45" i="67"/>
  <c r="M45" i="67" s="1"/>
  <c r="D19" i="67"/>
  <c r="B62" i="67"/>
  <c r="M62" i="67" s="1"/>
  <c r="C46" i="67"/>
  <c r="C27" i="67"/>
  <c r="B52" i="67"/>
  <c r="M52" i="67" s="1"/>
  <c r="D13" i="67"/>
  <c r="B18" i="67"/>
  <c r="M18" i="67" s="1"/>
  <c r="C66" i="67"/>
  <c r="D66" i="67"/>
  <c r="C76" i="67"/>
  <c r="D45" i="67"/>
  <c r="D31" i="67"/>
  <c r="A19" i="67"/>
  <c r="C77" i="67"/>
  <c r="C14" i="67"/>
  <c r="C71" i="67"/>
  <c r="C42" i="67"/>
  <c r="C61" i="67"/>
  <c r="D55" i="67"/>
  <c r="B11" i="67"/>
  <c r="D76" i="67"/>
  <c r="D24" i="67"/>
  <c r="C47" i="67"/>
  <c r="B60" i="67"/>
  <c r="M60" i="67" s="1"/>
  <c r="D23" i="67"/>
  <c r="C72" i="67"/>
  <c r="B49" i="67"/>
  <c r="M49" i="67" s="1"/>
  <c r="C64" i="67"/>
  <c r="B36" i="67"/>
  <c r="M36" i="67" s="1"/>
  <c r="B32" i="67"/>
  <c r="M32" i="67" s="1"/>
  <c r="B54" i="67"/>
  <c r="M54" i="67" s="1"/>
  <c r="D69" i="67"/>
  <c r="B43" i="67"/>
  <c r="M43" i="67" s="1"/>
  <c r="C17" i="67"/>
  <c r="C63" i="67"/>
  <c r="D56" i="67"/>
  <c r="B40" i="67"/>
  <c r="M40" i="67" s="1"/>
  <c r="B71" i="67"/>
  <c r="M71" i="67" s="1"/>
  <c r="B44" i="67"/>
  <c r="M44" i="67" s="1"/>
  <c r="C21" i="67"/>
  <c r="D41" i="67"/>
  <c r="B22" i="67"/>
  <c r="M22" i="67" s="1"/>
  <c r="B14" i="67"/>
  <c r="M14" i="67" s="1"/>
  <c r="D44" i="67"/>
  <c r="D47" i="67"/>
  <c r="D51" i="67"/>
  <c r="B56" i="67"/>
  <c r="M56" i="67" s="1"/>
  <c r="A75" i="67"/>
  <c r="C24" i="67"/>
  <c r="D58" i="67"/>
  <c r="C12" i="67"/>
  <c r="C60" i="67"/>
  <c r="C74" i="67"/>
  <c r="A71" i="67"/>
  <c r="B39" i="67"/>
  <c r="M39" i="67" s="1"/>
  <c r="B55" i="67"/>
  <c r="M55" i="67" s="1"/>
  <c r="A30" i="67"/>
  <c r="D18" i="67"/>
  <c r="A41" i="67"/>
  <c r="C69" i="67"/>
  <c r="D48" i="67"/>
  <c r="D67" i="67"/>
  <c r="C34" i="67"/>
  <c r="B63" i="67"/>
  <c r="M63" i="67" s="1"/>
  <c r="B58" i="67"/>
  <c r="M58" i="67" s="1"/>
  <c r="D62" i="67"/>
  <c r="C33" i="67"/>
  <c r="B38" i="67"/>
  <c r="M38" i="67" s="1"/>
  <c r="C30" i="67"/>
  <c r="C50" i="67"/>
  <c r="B47" i="67"/>
  <c r="M47" i="67" s="1"/>
  <c r="B31" i="67"/>
  <c r="M31" i="67" s="1"/>
  <c r="A29" i="67"/>
  <c r="B42" i="67"/>
  <c r="M42" i="67" s="1"/>
  <c r="C41" i="67"/>
  <c r="C73" i="67"/>
  <c r="C59" i="67"/>
  <c r="D73" i="67"/>
  <c r="A23" i="67"/>
  <c r="C56" i="67"/>
  <c r="D46" i="67"/>
  <c r="D29" i="67"/>
  <c r="D78" i="67"/>
  <c r="B12" i="67"/>
  <c r="M12" i="67" s="1"/>
  <c r="C28" i="67"/>
  <c r="B23" i="67"/>
  <c r="M23" i="67" s="1"/>
  <c r="D25" i="67"/>
  <c r="C57" i="67"/>
  <c r="C48" i="67"/>
  <c r="B17" i="67"/>
  <c r="M17" i="67" s="1"/>
  <c r="C62" i="67"/>
  <c r="A63" i="67"/>
  <c r="C26" i="67"/>
  <c r="D74" i="67"/>
  <c r="C15" i="67"/>
  <c r="C65" i="67"/>
  <c r="D40" i="67"/>
  <c r="D53" i="67"/>
  <c r="B13" i="67"/>
  <c r="M13" i="67" s="1"/>
  <c r="B46" i="67"/>
  <c r="M46" i="67" s="1"/>
  <c r="D37" i="67"/>
  <c r="A27" i="64" l="1"/>
  <c r="B68" i="37"/>
  <c r="D19" i="37"/>
  <c r="D73" i="37"/>
  <c r="D22" i="37"/>
  <c r="B52" i="37"/>
  <c r="C40" i="37"/>
  <c r="B48" i="37"/>
  <c r="N48" i="37" s="1"/>
  <c r="O48" i="37" s="1"/>
  <c r="B14" i="37"/>
  <c r="N14" i="37" s="1"/>
  <c r="O14" i="37" s="1"/>
  <c r="B27" i="37"/>
  <c r="C63" i="37"/>
  <c r="B36" i="37"/>
  <c r="D45" i="37"/>
  <c r="C41" i="37"/>
  <c r="B18" i="37"/>
  <c r="N18" i="37" s="1"/>
  <c r="O18" i="37" s="1"/>
  <c r="C36" i="37"/>
  <c r="B30" i="37"/>
  <c r="C60" i="37"/>
  <c r="C39" i="37"/>
  <c r="C55" i="37"/>
  <c r="D17" i="37"/>
  <c r="B58" i="37"/>
  <c r="N58" i="37" s="1"/>
  <c r="O58" i="37" s="1"/>
  <c r="B78" i="37"/>
  <c r="D50" i="37"/>
  <c r="C19" i="37"/>
  <c r="B32" i="37"/>
  <c r="C29" i="37"/>
  <c r="C67" i="37"/>
  <c r="D68" i="37"/>
  <c r="D30" i="37"/>
  <c r="C13" i="37"/>
  <c r="B34" i="37"/>
  <c r="N34" i="37" s="1"/>
  <c r="O34" i="37" s="1"/>
  <c r="B65" i="37"/>
  <c r="B11" i="37"/>
  <c r="N11" i="37" s="1"/>
  <c r="D75" i="37"/>
  <c r="B70" i="37"/>
  <c r="D53" i="37"/>
  <c r="B20" i="37"/>
  <c r="C75" i="37"/>
  <c r="C20" i="37"/>
  <c r="B66" i="37"/>
  <c r="B43" i="37"/>
  <c r="C34" i="37"/>
  <c r="D57" i="37"/>
  <c r="B39" i="37"/>
  <c r="B63" i="37"/>
  <c r="C58" i="37"/>
  <c r="B38" i="37"/>
  <c r="N38" i="37" s="1"/>
  <c r="O38" i="37" s="1"/>
  <c r="D58" i="37"/>
  <c r="C28" i="37"/>
  <c r="D49" i="37"/>
  <c r="D33" i="37"/>
  <c r="D46" i="37"/>
  <c r="D35" i="37"/>
  <c r="D14" i="37"/>
  <c r="B22" i="37"/>
  <c r="D16" i="37"/>
  <c r="C47" i="37"/>
  <c r="A30" i="53"/>
  <c r="A59" i="64"/>
  <c r="A19" i="53"/>
  <c r="A63" i="36"/>
  <c r="A19" i="64"/>
  <c r="A15" i="64"/>
  <c r="A13" i="64"/>
  <c r="A16" i="53"/>
  <c r="P71" i="36"/>
  <c r="Q71" i="36" s="1"/>
  <c r="A71" i="36"/>
  <c r="O71" i="36"/>
  <c r="M7" i="51"/>
  <c r="AF7" i="1"/>
  <c r="J7" i="51"/>
  <c r="T7" i="1"/>
  <c r="A11" i="36"/>
  <c r="N11" i="36"/>
  <c r="O11" i="36" s="1"/>
  <c r="A70" i="36"/>
  <c r="P70" i="36"/>
  <c r="Q70" i="36" s="1"/>
  <c r="P35" i="36"/>
  <c r="Q35" i="36" s="1"/>
  <c r="N35" i="36"/>
  <c r="O35" i="36" s="1"/>
  <c r="P23" i="36"/>
  <c r="Q23" i="36" s="1"/>
  <c r="K23" i="1" s="1"/>
  <c r="DH23" i="1" s="1"/>
  <c r="N23" i="36"/>
  <c r="O23" i="36" s="1"/>
  <c r="P39" i="36"/>
  <c r="Q39" i="36" s="1"/>
  <c r="K39" i="1" s="1"/>
  <c r="DH39" i="1" s="1"/>
  <c r="N39" i="36"/>
  <c r="O39" i="36" s="1"/>
  <c r="P62" i="36"/>
  <c r="Q62" i="36" s="1"/>
  <c r="A62" i="36"/>
  <c r="N62" i="36"/>
  <c r="P24" i="36"/>
  <c r="Q24" i="36" s="1"/>
  <c r="K24" i="1" s="1"/>
  <c r="DH24" i="1" s="1"/>
  <c r="N24" i="36"/>
  <c r="O24" i="36" s="1"/>
  <c r="CU1" i="1"/>
  <c r="EG1" i="1"/>
  <c r="CH1" i="1"/>
  <c r="DH1" i="1"/>
  <c r="BU1" i="1"/>
  <c r="DT1" i="1"/>
  <c r="P67" i="36"/>
  <c r="Q67" i="36" s="1"/>
  <c r="P74" i="36"/>
  <c r="Q74" i="36" s="1"/>
  <c r="P18" i="36"/>
  <c r="Q18" i="36" s="1"/>
  <c r="K18" i="1" s="1"/>
  <c r="DH18" i="1" s="1"/>
  <c r="N18" i="36"/>
  <c r="O18" i="36" s="1"/>
  <c r="L6" i="51"/>
  <c r="A23" i="41"/>
  <c r="B36" i="41"/>
  <c r="B69" i="41"/>
  <c r="B32" i="41"/>
  <c r="A36" i="41"/>
  <c r="D22" i="41"/>
  <c r="A32" i="41"/>
  <c r="B63" i="41"/>
  <c r="C62" i="41"/>
  <c r="B13" i="41"/>
  <c r="D58" i="41"/>
  <c r="B16" i="41"/>
  <c r="A22" i="41"/>
  <c r="A62" i="41"/>
  <c r="D15" i="41"/>
  <c r="D26" i="41"/>
  <c r="B67" i="41"/>
  <c r="C26" i="41"/>
  <c r="B66" i="41"/>
  <c r="C19" i="41"/>
  <c r="D19" i="41"/>
  <c r="D39" i="41"/>
  <c r="A64" i="41"/>
  <c r="C37" i="41"/>
  <c r="B41" i="41"/>
  <c r="C18" i="41"/>
  <c r="B33" i="41"/>
  <c r="C38" i="41"/>
  <c r="D61" i="41"/>
  <c r="B65" i="41"/>
  <c r="D65" i="41"/>
  <c r="D18" i="41"/>
  <c r="C20" i="41"/>
  <c r="C60" i="41"/>
  <c r="C67" i="41"/>
  <c r="A17" i="41"/>
  <c r="A34" i="41"/>
  <c r="C47" i="41"/>
  <c r="B19" i="41"/>
  <c r="B44" i="41"/>
  <c r="A51" i="41"/>
  <c r="C49" i="41"/>
  <c r="A72" i="41"/>
  <c r="D21" i="41"/>
  <c r="C73" i="41"/>
  <c r="B52" i="41"/>
  <c r="C12" i="41"/>
  <c r="D44" i="41"/>
  <c r="B30" i="41"/>
  <c r="D49" i="41"/>
  <c r="D37" i="41"/>
  <c r="C16" i="41"/>
  <c r="A42" i="41"/>
  <c r="A44" i="41"/>
  <c r="A68" i="41"/>
  <c r="A67" i="41"/>
  <c r="B12" i="41"/>
  <c r="D31" i="41"/>
  <c r="A48" i="41"/>
  <c r="B17" i="41"/>
  <c r="C55" i="41"/>
  <c r="C46" i="41"/>
  <c r="B57" i="41"/>
  <c r="D60" i="41"/>
  <c r="A26" i="41"/>
  <c r="D25" i="41"/>
  <c r="C17" i="41"/>
  <c r="B47" i="41"/>
  <c r="A76" i="41"/>
  <c r="D63" i="41"/>
  <c r="B28" i="41"/>
  <c r="D62" i="41"/>
  <c r="B55" i="41"/>
  <c r="D12" i="41"/>
  <c r="C29" i="41"/>
  <c r="C71" i="41"/>
  <c r="B39" i="41"/>
  <c r="B70" i="41"/>
  <c r="B15" i="41"/>
  <c r="B34" i="41"/>
  <c r="D36" i="41"/>
  <c r="A71" i="41"/>
  <c r="A75" i="41"/>
  <c r="B24" i="41"/>
  <c r="C36" i="41"/>
  <c r="C13" i="41"/>
  <c r="B54" i="41"/>
  <c r="D29" i="41"/>
  <c r="C58" i="41"/>
  <c r="A43" i="41"/>
  <c r="A21" i="41"/>
  <c r="A15" i="41"/>
  <c r="A65" i="41"/>
  <c r="A49" i="41"/>
  <c r="C11" i="41"/>
  <c r="C53" i="41"/>
  <c r="B74" i="41"/>
  <c r="C27" i="41"/>
  <c r="C31" i="41"/>
  <c r="D30" i="41"/>
  <c r="C48" i="41"/>
  <c r="D48" i="41"/>
  <c r="C33" i="41"/>
  <c r="D76" i="41"/>
  <c r="C65" i="41"/>
  <c r="C76" i="41"/>
  <c r="B29" i="41"/>
  <c r="A29" i="41"/>
  <c r="A35" i="41"/>
  <c r="A37" i="41"/>
  <c r="A40" i="41"/>
  <c r="D55" i="41"/>
  <c r="A73" i="41"/>
  <c r="A70" i="41"/>
  <c r="A39" i="41"/>
  <c r="B35" i="41"/>
  <c r="A80" i="41"/>
  <c r="C25" i="41"/>
  <c r="A18" i="41"/>
  <c r="D16" i="41"/>
  <c r="A41" i="41"/>
  <c r="AB6" i="1"/>
  <c r="C45" i="41"/>
  <c r="C64" i="41"/>
  <c r="B14" i="41"/>
  <c r="B77" i="41"/>
  <c r="D59" i="41"/>
  <c r="C39" i="41"/>
  <c r="D24" i="41"/>
  <c r="B79" i="41"/>
  <c r="C68" i="41"/>
  <c r="B42" i="41"/>
  <c r="C14" i="41"/>
  <c r="D32" i="41"/>
  <c r="C28" i="41"/>
  <c r="D71" i="41"/>
  <c r="B23" i="41"/>
  <c r="A78" i="41"/>
  <c r="D67" i="41"/>
  <c r="A52" i="41"/>
  <c r="B22" i="41"/>
  <c r="C63" i="41"/>
  <c r="A77" i="41"/>
  <c r="D52" i="41"/>
  <c r="D35" i="41"/>
  <c r="A61" i="41"/>
  <c r="D77" i="41"/>
  <c r="B56" i="41"/>
  <c r="D45" i="41"/>
  <c r="B46" i="41"/>
  <c r="B58" i="41"/>
  <c r="D20" i="41"/>
  <c r="C40" i="41"/>
  <c r="D11" i="41"/>
  <c r="A60" i="41"/>
  <c r="A33" i="41"/>
  <c r="A79" i="41"/>
  <c r="D56" i="41"/>
  <c r="B71" i="41"/>
  <c r="C41" i="41"/>
  <c r="B31" i="41"/>
  <c r="B25" i="41"/>
  <c r="D38" i="41"/>
  <c r="B80" i="41"/>
  <c r="A47" i="41"/>
  <c r="B27" i="41"/>
  <c r="A55" i="41"/>
  <c r="D28" i="41"/>
  <c r="B72" i="41"/>
  <c r="B43" i="41"/>
  <c r="C57" i="41"/>
  <c r="D79" i="41"/>
  <c r="C44" i="41"/>
  <c r="C74" i="41"/>
  <c r="C35" i="41"/>
  <c r="B48" i="41"/>
  <c r="B21" i="41"/>
  <c r="C72" i="41"/>
  <c r="D33" i="41"/>
  <c r="C61" i="41"/>
  <c r="D72" i="41"/>
  <c r="B76" i="41"/>
  <c r="D14" i="41"/>
  <c r="D66" i="41"/>
  <c r="A20" i="41"/>
  <c r="A74" i="41"/>
  <c r="A38" i="41"/>
  <c r="D23" i="41"/>
  <c r="C24" i="41"/>
  <c r="B11" i="41"/>
  <c r="C52" i="41"/>
  <c r="D13" i="41"/>
  <c r="C51" i="41"/>
  <c r="A57" i="41"/>
  <c r="A12" i="41"/>
  <c r="C69" i="41"/>
  <c r="B26" i="41"/>
  <c r="D41" i="41"/>
  <c r="B37" i="41"/>
  <c r="D53" i="41"/>
  <c r="B50" i="41"/>
  <c r="A45" i="41"/>
  <c r="A24" i="41"/>
  <c r="A11" i="41"/>
  <c r="C21" i="41"/>
  <c r="B45" i="41"/>
  <c r="C34" i="41"/>
  <c r="C22" i="41"/>
  <c r="D54" i="41"/>
  <c r="D73" i="41"/>
  <c r="B60" i="41"/>
  <c r="C42" i="41"/>
  <c r="C70" i="41"/>
  <c r="D80" i="41"/>
  <c r="D74" i="41"/>
  <c r="C54" i="41"/>
  <c r="C77" i="41"/>
  <c r="C15" i="41"/>
  <c r="C23" i="41"/>
  <c r="C43" i="41"/>
  <c r="A69" i="41"/>
  <c r="C66" i="41"/>
  <c r="A58" i="41"/>
  <c r="D57" i="41"/>
  <c r="A19" i="41"/>
  <c r="D70" i="41"/>
  <c r="B64" i="41"/>
  <c r="B51" i="41"/>
  <c r="B62" i="41"/>
  <c r="A28" i="41"/>
  <c r="B78" i="41"/>
  <c r="A66" i="41"/>
  <c r="A63" i="41"/>
  <c r="B20" i="41"/>
  <c r="D75" i="41"/>
  <c r="B38" i="41"/>
  <c r="C79" i="41"/>
  <c r="D46" i="41"/>
  <c r="A31" i="41"/>
  <c r="A46" i="41"/>
  <c r="B53" i="41"/>
  <c r="C32" i="41"/>
  <c r="D68" i="41"/>
  <c r="D51" i="41"/>
  <c r="D17" i="41"/>
  <c r="A30" i="41"/>
  <c r="A54" i="41"/>
  <c r="A14" i="41"/>
  <c r="B40" i="41"/>
  <c r="D43" i="41"/>
  <c r="A50" i="41"/>
  <c r="D64" i="41"/>
  <c r="A56" i="41"/>
  <c r="D78" i="41"/>
  <c r="A25" i="41"/>
  <c r="A27" i="41"/>
  <c r="C78" i="41"/>
  <c r="D40" i="41"/>
  <c r="A53" i="41"/>
  <c r="B68" i="41"/>
  <c r="B61" i="41"/>
  <c r="C56" i="41"/>
  <c r="B75" i="41"/>
  <c r="C80" i="41"/>
  <c r="C59" i="41"/>
  <c r="B18" i="41"/>
  <c r="D27" i="41"/>
  <c r="B59" i="41"/>
  <c r="D69" i="41"/>
  <c r="B49" i="41"/>
  <c r="A16" i="41"/>
  <c r="A59" i="41"/>
  <c r="D47" i="41"/>
  <c r="D34" i="41"/>
  <c r="A13" i="41"/>
  <c r="C30" i="41"/>
  <c r="C50" i="41"/>
  <c r="B73" i="41"/>
  <c r="D50" i="41"/>
  <c r="C75" i="41"/>
  <c r="D42" i="41"/>
  <c r="A28" i="64"/>
  <c r="A50" i="64"/>
  <c r="A42" i="64"/>
  <c r="A49" i="64"/>
  <c r="A33" i="53"/>
  <c r="A36" i="53"/>
  <c r="A61" i="36"/>
  <c r="P68" i="37"/>
  <c r="Q68" i="37" s="1"/>
  <c r="P66" i="37"/>
  <c r="Q66" i="37" s="1"/>
  <c r="P34" i="37"/>
  <c r="Q34" i="37" s="1"/>
  <c r="P38" i="37"/>
  <c r="Q38" i="37" s="1"/>
  <c r="O38" i="1" s="1"/>
  <c r="DI38" i="1" s="1"/>
  <c r="P58" i="37"/>
  <c r="Q58" i="37" s="1"/>
  <c r="P14" i="37"/>
  <c r="Q14" i="37" s="1"/>
  <c r="P78" i="37"/>
  <c r="Q78" i="37" s="1"/>
  <c r="P18" i="37"/>
  <c r="Q18" i="37" s="1"/>
  <c r="O18" i="1" s="1"/>
  <c r="DI18" i="1" s="1"/>
  <c r="P11" i="37"/>
  <c r="Q11" i="37" s="1"/>
  <c r="P30" i="36"/>
  <c r="Q30" i="36" s="1"/>
  <c r="K30" i="1" s="1"/>
  <c r="DH30" i="1" s="1"/>
  <c r="N30" i="36"/>
  <c r="O30" i="36" s="1"/>
  <c r="P26" i="36"/>
  <c r="Q26" i="36" s="1"/>
  <c r="N26" i="36"/>
  <c r="O26" i="36" s="1"/>
  <c r="A73" i="36"/>
  <c r="P73" i="36"/>
  <c r="Q73" i="36" s="1"/>
  <c r="O73" i="36"/>
  <c r="P43" i="36"/>
  <c r="Q43" i="36" s="1"/>
  <c r="N43" i="36"/>
  <c r="O43" i="36" s="1"/>
  <c r="P69" i="36"/>
  <c r="Q69" i="36" s="1"/>
  <c r="O69" i="36"/>
  <c r="A69" i="36"/>
  <c r="N69" i="36"/>
  <c r="A75" i="36"/>
  <c r="P75" i="36"/>
  <c r="Q75" i="36" s="1"/>
  <c r="L7" i="51"/>
  <c r="AB7" i="1"/>
  <c r="A29" i="64"/>
  <c r="A43" i="64"/>
  <c r="A42" i="53"/>
  <c r="A29" i="37"/>
  <c r="D16" i="55"/>
  <c r="B20" i="55"/>
  <c r="O20" i="55" s="1"/>
  <c r="P20" i="55" s="1"/>
  <c r="B65" i="55"/>
  <c r="B75" i="55"/>
  <c r="C16" i="55"/>
  <c r="C39" i="55"/>
  <c r="D63" i="55"/>
  <c r="D54" i="55"/>
  <c r="B23" i="55"/>
  <c r="O23" i="55" s="1"/>
  <c r="P23" i="55" s="1"/>
  <c r="B17" i="55"/>
  <c r="O17" i="55" s="1"/>
  <c r="P17" i="55" s="1"/>
  <c r="B27" i="55"/>
  <c r="B15" i="55"/>
  <c r="O15" i="55" s="1"/>
  <c r="P15" i="55" s="1"/>
  <c r="B78" i="55"/>
  <c r="D29" i="55"/>
  <c r="D52" i="55"/>
  <c r="D53" i="55"/>
  <c r="C67" i="55"/>
  <c r="B51" i="55"/>
  <c r="O51" i="55" s="1"/>
  <c r="P51" i="55" s="1"/>
  <c r="B71" i="55"/>
  <c r="C38" i="55"/>
  <c r="D75" i="55"/>
  <c r="B57" i="55"/>
  <c r="C11" i="55"/>
  <c r="C46" i="55"/>
  <c r="D43" i="55"/>
  <c r="D37" i="55"/>
  <c r="D66" i="55"/>
  <c r="D50" i="55"/>
  <c r="C50" i="55"/>
  <c r="C37" i="55"/>
  <c r="C56" i="55"/>
  <c r="C49" i="55"/>
  <c r="B74" i="55"/>
  <c r="A74" i="55" s="1"/>
  <c r="C21" i="55"/>
  <c r="D17" i="55"/>
  <c r="B46" i="55"/>
  <c r="D38" i="55"/>
  <c r="D25" i="55"/>
  <c r="D39" i="55"/>
  <c r="D58" i="55"/>
  <c r="B80" i="55"/>
  <c r="B37" i="55"/>
  <c r="B63" i="55"/>
  <c r="C74" i="55"/>
  <c r="C43" i="55"/>
  <c r="D19" i="55"/>
  <c r="B53" i="55"/>
  <c r="O53" i="55" s="1"/>
  <c r="P53" i="55" s="1"/>
  <c r="D51" i="55"/>
  <c r="C36" i="55"/>
  <c r="B39" i="55"/>
  <c r="O39" i="55" s="1"/>
  <c r="P39" i="55" s="1"/>
  <c r="D12" i="55"/>
  <c r="AV6" i="1"/>
  <c r="C69" i="55"/>
  <c r="D47" i="55"/>
  <c r="D23" i="55"/>
  <c r="D26" i="55"/>
  <c r="D65" i="55"/>
  <c r="B19" i="55"/>
  <c r="O19" i="55" s="1"/>
  <c r="P19" i="55" s="1"/>
  <c r="D68" i="55"/>
  <c r="C24" i="55"/>
  <c r="B29" i="55"/>
  <c r="B49" i="55"/>
  <c r="O49" i="55" s="1"/>
  <c r="P49" i="55" s="1"/>
  <c r="D13" i="55"/>
  <c r="D32" i="55"/>
  <c r="C40" i="55"/>
  <c r="B66" i="55"/>
  <c r="D73" i="55"/>
  <c r="C15" i="55"/>
  <c r="D30" i="55"/>
  <c r="B21" i="55"/>
  <c r="B64" i="55"/>
  <c r="A64" i="55" s="1"/>
  <c r="B79" i="55"/>
  <c r="C23" i="55"/>
  <c r="B76" i="55"/>
  <c r="C14" i="55"/>
  <c r="D18" i="55"/>
  <c r="C66" i="55"/>
  <c r="D33" i="55"/>
  <c r="B70" i="55"/>
  <c r="D46" i="55"/>
  <c r="B12" i="55"/>
  <c r="D40" i="55"/>
  <c r="B42" i="55"/>
  <c r="O42" i="55" s="1"/>
  <c r="P42" i="55" s="1"/>
  <c r="C19" i="55"/>
  <c r="D69" i="55"/>
  <c r="C45" i="55"/>
  <c r="C59" i="55"/>
  <c r="C22" i="55"/>
  <c r="C62" i="55"/>
  <c r="C73" i="55"/>
  <c r="B58" i="55"/>
  <c r="B69" i="55"/>
  <c r="C27" i="55"/>
  <c r="B26" i="55"/>
  <c r="O26" i="55" s="1"/>
  <c r="P26" i="55" s="1"/>
  <c r="D41" i="55"/>
  <c r="B61" i="55"/>
  <c r="C51" i="55"/>
  <c r="C26" i="55"/>
  <c r="B45" i="55"/>
  <c r="C25" i="55"/>
  <c r="C30" i="55"/>
  <c r="D56" i="55"/>
  <c r="D59" i="55"/>
  <c r="A61" i="55"/>
  <c r="B52" i="55"/>
  <c r="O52" i="55" s="1"/>
  <c r="P52" i="55" s="1"/>
  <c r="B73" i="55"/>
  <c r="D35" i="55"/>
  <c r="B28" i="55"/>
  <c r="D22" i="55"/>
  <c r="D60" i="55"/>
  <c r="C41" i="55"/>
  <c r="C60" i="55"/>
  <c r="B44" i="55"/>
  <c r="O44" i="55" s="1"/>
  <c r="P44" i="55" s="1"/>
  <c r="B77" i="55"/>
  <c r="D36" i="55"/>
  <c r="B32" i="55"/>
  <c r="D15" i="55"/>
  <c r="C33" i="55"/>
  <c r="D48" i="55"/>
  <c r="A69" i="55"/>
  <c r="D11" i="55"/>
  <c r="C32" i="55"/>
  <c r="C58" i="55"/>
  <c r="C47" i="55"/>
  <c r="C54" i="55"/>
  <c r="C42" i="55"/>
  <c r="D42" i="55"/>
  <c r="D55" i="55"/>
  <c r="C57" i="55"/>
  <c r="C55" i="55"/>
  <c r="D74" i="55"/>
  <c r="Q6" i="51"/>
  <c r="D31" i="55"/>
  <c r="C71" i="55"/>
  <c r="D21" i="55"/>
  <c r="B35" i="55"/>
  <c r="D34" i="55"/>
  <c r="B50" i="55"/>
  <c r="B31" i="55"/>
  <c r="O31" i="55" s="1"/>
  <c r="P31" i="55" s="1"/>
  <c r="B60" i="55"/>
  <c r="O60" i="55" s="1"/>
  <c r="B68" i="55"/>
  <c r="A68" i="55" s="1"/>
  <c r="B34" i="55"/>
  <c r="D71" i="55"/>
  <c r="D45" i="55"/>
  <c r="D27" i="55"/>
  <c r="B40" i="55"/>
  <c r="C35" i="55"/>
  <c r="B56" i="55"/>
  <c r="O56" i="55" s="1"/>
  <c r="P56" i="55" s="1"/>
  <c r="C17" i="55"/>
  <c r="B25" i="55"/>
  <c r="O25" i="55" s="1"/>
  <c r="P25" i="55" s="1"/>
  <c r="C18" i="55"/>
  <c r="B54" i="55"/>
  <c r="O54" i="55" s="1"/>
  <c r="P54" i="55" s="1"/>
  <c r="C12" i="55"/>
  <c r="C13" i="55"/>
  <c r="C44" i="55"/>
  <c r="B38" i="55"/>
  <c r="C34" i="55"/>
  <c r="D62" i="55"/>
  <c r="B67" i="55"/>
  <c r="C75" i="55"/>
  <c r="B30" i="55"/>
  <c r="C63" i="55"/>
  <c r="C65" i="55"/>
  <c r="B13" i="55"/>
  <c r="B47" i="55"/>
  <c r="O47" i="55" s="1"/>
  <c r="C29" i="55"/>
  <c r="A71" i="55"/>
  <c r="B72" i="55"/>
  <c r="B41" i="55"/>
  <c r="C31" i="55"/>
  <c r="C52" i="55"/>
  <c r="D67" i="55"/>
  <c r="D14" i="55"/>
  <c r="D72" i="55"/>
  <c r="D64" i="55"/>
  <c r="D24" i="55"/>
  <c r="B62" i="55"/>
  <c r="D20" i="55"/>
  <c r="B43" i="55"/>
  <c r="O43" i="55" s="1"/>
  <c r="P43" i="55" s="1"/>
  <c r="D28" i="55"/>
  <c r="B14" i="55"/>
  <c r="B59" i="55"/>
  <c r="A63" i="55"/>
  <c r="B22" i="55"/>
  <c r="C70" i="55"/>
  <c r="C48" i="55"/>
  <c r="B16" i="55"/>
  <c r="O16" i="55" s="1"/>
  <c r="P16" i="55" s="1"/>
  <c r="B36" i="55"/>
  <c r="D70" i="55"/>
  <c r="D61" i="55"/>
  <c r="C72" i="55"/>
  <c r="D57" i="55"/>
  <c r="C64" i="55"/>
  <c r="B18" i="55"/>
  <c r="A31" i="55" s="1"/>
  <c r="C20" i="55"/>
  <c r="B48" i="55"/>
  <c r="C61" i="55"/>
  <c r="C68" i="55"/>
  <c r="C28" i="55"/>
  <c r="D49" i="55"/>
  <c r="B11" i="55"/>
  <c r="B24" i="55"/>
  <c r="O24" i="55" s="1"/>
  <c r="P24" i="55" s="1"/>
  <c r="B55" i="55"/>
  <c r="B33" i="55"/>
  <c r="D44" i="55"/>
  <c r="C53" i="55"/>
  <c r="A13" i="55"/>
  <c r="AJ7" i="1"/>
  <c r="N7" i="51"/>
  <c r="D46" i="38"/>
  <c r="B11" i="38"/>
  <c r="D76" i="38"/>
  <c r="C53" i="38"/>
  <c r="D20" i="38"/>
  <c r="B45" i="38"/>
  <c r="D30" i="38"/>
  <c r="D18" i="38"/>
  <c r="D15" i="38"/>
  <c r="C80" i="38"/>
  <c r="C44" i="38"/>
  <c r="C21" i="38"/>
  <c r="D47" i="38"/>
  <c r="C34" i="38"/>
  <c r="B69" i="38"/>
  <c r="D63" i="38"/>
  <c r="B48" i="38"/>
  <c r="B80" i="38"/>
  <c r="D25" i="38"/>
  <c r="C31" i="38"/>
  <c r="B23" i="38"/>
  <c r="C48" i="38"/>
  <c r="C16" i="38"/>
  <c r="C60" i="38"/>
  <c r="D41" i="38"/>
  <c r="B13" i="38"/>
  <c r="B63" i="38"/>
  <c r="D28" i="38"/>
  <c r="D33" i="38"/>
  <c r="B33" i="38"/>
  <c r="D80" i="38"/>
  <c r="B19" i="38"/>
  <c r="D48" i="38"/>
  <c r="B22" i="38"/>
  <c r="B67" i="38"/>
  <c r="B42" i="38"/>
  <c r="C55" i="38"/>
  <c r="B55" i="38"/>
  <c r="B31" i="38"/>
  <c r="B49" i="38"/>
  <c r="C54" i="38"/>
  <c r="D68" i="38"/>
  <c r="D36" i="38"/>
  <c r="D79" i="38"/>
  <c r="B64" i="38"/>
  <c r="B52" i="38"/>
  <c r="D57" i="38"/>
  <c r="B38" i="38"/>
  <c r="B66" i="38"/>
  <c r="C62" i="38"/>
  <c r="B51" i="38"/>
  <c r="C77" i="38"/>
  <c r="C78" i="38"/>
  <c r="B76" i="38"/>
  <c r="A76" i="38" s="1"/>
  <c r="B41" i="38"/>
  <c r="D70" i="38"/>
  <c r="D72" i="38"/>
  <c r="B50" i="38"/>
  <c r="B43" i="38"/>
  <c r="C26" i="38"/>
  <c r="C20" i="38"/>
  <c r="B74" i="38"/>
  <c r="B18" i="38"/>
  <c r="D45" i="38"/>
  <c r="D60" i="38"/>
  <c r="C67" i="38"/>
  <c r="D49" i="38"/>
  <c r="D67" i="38"/>
  <c r="B72" i="38"/>
  <c r="D23" i="38"/>
  <c r="C58" i="38"/>
  <c r="C33" i="38"/>
  <c r="B14" i="38"/>
  <c r="D37" i="38"/>
  <c r="D78" i="38"/>
  <c r="C15" i="38"/>
  <c r="D43" i="38"/>
  <c r="C74" i="38"/>
  <c r="C59" i="38"/>
  <c r="D12" i="38"/>
  <c r="C63" i="38"/>
  <c r="C49" i="38"/>
  <c r="D71" i="38"/>
  <c r="D35" i="38"/>
  <c r="B39" i="38"/>
  <c r="B30" i="38"/>
  <c r="B20" i="38"/>
  <c r="B60" i="38"/>
  <c r="C23" i="38"/>
  <c r="D73" i="38"/>
  <c r="B27" i="38"/>
  <c r="D65" i="38"/>
  <c r="C22" i="38"/>
  <c r="C28" i="38"/>
  <c r="B25" i="38"/>
  <c r="D66" i="38"/>
  <c r="D69" i="38"/>
  <c r="D17" i="38"/>
  <c r="B44" i="38"/>
  <c r="C19" i="38"/>
  <c r="C57" i="38"/>
  <c r="B59" i="38"/>
  <c r="C11" i="38"/>
  <c r="C17" i="38"/>
  <c r="D51" i="38"/>
  <c r="B35" i="38"/>
  <c r="C64" i="38"/>
  <c r="D58" i="38"/>
  <c r="C79" i="38"/>
  <c r="C61" i="38"/>
  <c r="D38" i="38"/>
  <c r="B75" i="38"/>
  <c r="C30" i="38"/>
  <c r="C47" i="38"/>
  <c r="B71" i="38"/>
  <c r="C27" i="38"/>
  <c r="C40" i="38"/>
  <c r="D14" i="38"/>
  <c r="B28" i="38"/>
  <c r="B32" i="38"/>
  <c r="B62" i="38"/>
  <c r="A62" i="38" s="1"/>
  <c r="C12" i="38"/>
  <c r="D52" i="38"/>
  <c r="D22" i="38"/>
  <c r="B58" i="38"/>
  <c r="C43" i="38"/>
  <c r="C45" i="38"/>
  <c r="D27" i="38"/>
  <c r="D31" i="38"/>
  <c r="D44" i="38"/>
  <c r="B73" i="38"/>
  <c r="C52" i="38"/>
  <c r="C32" i="38"/>
  <c r="C41" i="38"/>
  <c r="D29" i="38"/>
  <c r="D16" i="38"/>
  <c r="C38" i="38"/>
  <c r="D19" i="38"/>
  <c r="D61" i="38"/>
  <c r="D24" i="38"/>
  <c r="B57" i="38"/>
  <c r="B65" i="38"/>
  <c r="C68" i="38"/>
  <c r="D42" i="38"/>
  <c r="C56" i="38"/>
  <c r="B16" i="38"/>
  <c r="D39" i="38"/>
  <c r="C51" i="38"/>
  <c r="C39" i="38"/>
  <c r="B15" i="38"/>
  <c r="B68" i="38"/>
  <c r="A68" i="38" s="1"/>
  <c r="D74" i="38"/>
  <c r="D64" i="38"/>
  <c r="D34" i="38"/>
  <c r="C71" i="38"/>
  <c r="B70" i="38"/>
  <c r="A70" i="38" s="1"/>
  <c r="B53" i="38"/>
  <c r="C25" i="38"/>
  <c r="B54" i="38"/>
  <c r="C65" i="38"/>
  <c r="B40" i="38"/>
  <c r="C37" i="38"/>
  <c r="B29" i="38"/>
  <c r="C46" i="38"/>
  <c r="C29" i="38"/>
  <c r="B24" i="38"/>
  <c r="D40" i="38"/>
  <c r="B34" i="38"/>
  <c r="B37" i="38"/>
  <c r="B79" i="38"/>
  <c r="B21" i="38"/>
  <c r="D32" i="38"/>
  <c r="C73" i="38"/>
  <c r="D11" i="38"/>
  <c r="B78" i="38"/>
  <c r="A66" i="38"/>
  <c r="D55" i="38"/>
  <c r="B61" i="38"/>
  <c r="P6" i="1"/>
  <c r="C66" i="38"/>
  <c r="B47" i="38"/>
  <c r="D56" i="38"/>
  <c r="I6" i="51"/>
  <c r="B12" i="38"/>
  <c r="C18" i="38"/>
  <c r="D77" i="38"/>
  <c r="D62" i="38"/>
  <c r="B26" i="38"/>
  <c r="D59" i="38"/>
  <c r="A74" i="38"/>
  <c r="A78" i="38"/>
  <c r="D26" i="38"/>
  <c r="C76" i="38"/>
  <c r="D13" i="38"/>
  <c r="A61" i="38"/>
  <c r="B46" i="38"/>
  <c r="D54" i="38"/>
  <c r="B77" i="38"/>
  <c r="B36" i="38"/>
  <c r="C70" i="38"/>
  <c r="C36" i="38"/>
  <c r="C24" i="38"/>
  <c r="C69" i="38"/>
  <c r="C72" i="38"/>
  <c r="D53" i="38"/>
  <c r="C50" i="38"/>
  <c r="C42" i="38"/>
  <c r="A77" i="38"/>
  <c r="D50" i="38"/>
  <c r="B56" i="38"/>
  <c r="C14" i="38"/>
  <c r="C75" i="38"/>
  <c r="D75" i="38"/>
  <c r="C35" i="38"/>
  <c r="C13" i="38"/>
  <c r="D21" i="38"/>
  <c r="B17" i="38"/>
  <c r="A58" i="38" s="1"/>
  <c r="A31" i="38"/>
  <c r="N21" i="36"/>
  <c r="O21" i="36" s="1"/>
  <c r="P21" i="36"/>
  <c r="Q21" i="36" s="1"/>
  <c r="X7" i="1"/>
  <c r="K7" i="51"/>
  <c r="A64" i="36"/>
  <c r="N64" i="36"/>
  <c r="P59" i="36"/>
  <c r="Q59" i="36" s="1"/>
  <c r="K59" i="1" s="1"/>
  <c r="DH59" i="1" s="1"/>
  <c r="N59" i="36"/>
  <c r="O59" i="36" s="1"/>
  <c r="P52" i="36"/>
  <c r="Q52" i="36" s="1"/>
  <c r="K52" i="1" s="1"/>
  <c r="DH52" i="1" s="1"/>
  <c r="N52" i="36"/>
  <c r="O52" i="36" s="1"/>
  <c r="A49" i="53"/>
  <c r="A30" i="64"/>
  <c r="A41" i="64"/>
  <c r="A44" i="53"/>
  <c r="P40" i="36"/>
  <c r="Q40" i="36" s="1"/>
  <c r="K40" i="1" s="1"/>
  <c r="DH40" i="1" s="1"/>
  <c r="A12" i="42"/>
  <c r="B32" i="42"/>
  <c r="B54" i="42"/>
  <c r="B70" i="42"/>
  <c r="B19" i="42"/>
  <c r="B33" i="42"/>
  <c r="B59" i="42"/>
  <c r="B73" i="42"/>
  <c r="A15" i="42"/>
  <c r="A37" i="42"/>
  <c r="D46" i="42"/>
  <c r="C30" i="42"/>
  <c r="D70" i="42"/>
  <c r="D52" i="42"/>
  <c r="C77" i="42"/>
  <c r="C14" i="42"/>
  <c r="C80" i="42"/>
  <c r="C37" i="42"/>
  <c r="C35" i="42"/>
  <c r="D32" i="42"/>
  <c r="D24" i="42"/>
  <c r="C65" i="42"/>
  <c r="C58" i="42"/>
  <c r="D26" i="42"/>
  <c r="C70" i="42"/>
  <c r="C44" i="42"/>
  <c r="C17" i="42"/>
  <c r="D47" i="42"/>
  <c r="D21" i="42"/>
  <c r="C27" i="42"/>
  <c r="C31" i="42"/>
  <c r="C74" i="42"/>
  <c r="C23" i="42"/>
  <c r="B16" i="42"/>
  <c r="B42" i="42"/>
  <c r="B66" i="42"/>
  <c r="B23" i="42"/>
  <c r="A47" i="42"/>
  <c r="B69" i="42"/>
  <c r="A38" i="42"/>
  <c r="C63" i="42"/>
  <c r="D12" i="42"/>
  <c r="C76" i="42"/>
  <c r="D44" i="42"/>
  <c r="D71" i="42"/>
  <c r="D17" i="42"/>
  <c r="C62" i="42"/>
  <c r="D76" i="42"/>
  <c r="C15" i="42"/>
  <c r="D45" i="42"/>
  <c r="C33" i="42"/>
  <c r="C45" i="42"/>
  <c r="D77" i="42"/>
  <c r="C67" i="42"/>
  <c r="D11" i="42"/>
  <c r="C25" i="42"/>
  <c r="D16" i="42"/>
  <c r="C43" i="42"/>
  <c r="D14" i="42"/>
  <c r="C24" i="42"/>
  <c r="B36" i="42"/>
  <c r="B62" i="42"/>
  <c r="A80" i="42"/>
  <c r="B45" i="42"/>
  <c r="A65" i="42"/>
  <c r="A13" i="42"/>
  <c r="D48" i="42"/>
  <c r="C50" i="42"/>
  <c r="D60" i="42"/>
  <c r="D35" i="42"/>
  <c r="C55" i="42"/>
  <c r="C73" i="42"/>
  <c r="C42" i="42"/>
  <c r="C46" i="42"/>
  <c r="C20" i="42"/>
  <c r="C53" i="42"/>
  <c r="C48" i="42"/>
  <c r="D59" i="42"/>
  <c r="D50" i="42"/>
  <c r="C75" i="42"/>
  <c r="D63" i="42"/>
  <c r="D68" i="42"/>
  <c r="D67" i="42"/>
  <c r="D74" i="42"/>
  <c r="C78" i="42"/>
  <c r="B26" i="42"/>
  <c r="B58" i="42"/>
  <c r="A76" i="42"/>
  <c r="M6" i="51"/>
  <c r="B46" i="42"/>
  <c r="B55" i="42"/>
  <c r="A30" i="42"/>
  <c r="C68" i="42"/>
  <c r="D23" i="42"/>
  <c r="C79" i="42"/>
  <c r="C12" i="42"/>
  <c r="D39" i="42"/>
  <c r="C54" i="42"/>
  <c r="C61" i="42"/>
  <c r="D37" i="42"/>
  <c r="C11" i="42"/>
  <c r="D18" i="42"/>
  <c r="B74" i="42"/>
  <c r="A61" i="42"/>
  <c r="D64" i="42"/>
  <c r="C56" i="42"/>
  <c r="D19" i="42"/>
  <c r="D79" i="42"/>
  <c r="A18" i="42"/>
  <c r="A29" i="42"/>
  <c r="C47" i="42"/>
  <c r="C38" i="42"/>
  <c r="C69" i="42"/>
  <c r="C39" i="42"/>
  <c r="D38" i="42"/>
  <c r="D41" i="42"/>
  <c r="D27" i="42"/>
  <c r="D36" i="42"/>
  <c r="D61" i="42"/>
  <c r="D72" i="42"/>
  <c r="D69" i="42"/>
  <c r="C40" i="42"/>
  <c r="D57" i="42"/>
  <c r="A25" i="42"/>
  <c r="A75" i="42"/>
  <c r="D13" i="42"/>
  <c r="D22" i="42"/>
  <c r="D78" i="42"/>
  <c r="C72" i="42"/>
  <c r="C41" i="42"/>
  <c r="D73" i="42"/>
  <c r="C49" i="42"/>
  <c r="C32" i="42"/>
  <c r="D15" i="42"/>
  <c r="D29" i="42"/>
  <c r="B18" i="42"/>
  <c r="B34" i="42"/>
  <c r="A52" i="42"/>
  <c r="A68" i="42"/>
  <c r="B15" i="42"/>
  <c r="A31" i="42"/>
  <c r="B51" i="42"/>
  <c r="B65" i="42"/>
  <c r="B79" i="42"/>
  <c r="A46" i="42"/>
  <c r="D58" i="42"/>
  <c r="A32" i="42"/>
  <c r="B52" i="42"/>
  <c r="B68" i="42"/>
  <c r="B21" i="42"/>
  <c r="A39" i="42"/>
  <c r="B53" i="42"/>
  <c r="B71" i="42"/>
  <c r="A40" i="42"/>
  <c r="B20" i="42"/>
  <c r="A42" i="42"/>
  <c r="A62" i="42"/>
  <c r="B13" i="42"/>
  <c r="B27" i="42"/>
  <c r="A41" i="42"/>
  <c r="B63" i="42"/>
  <c r="A79" i="42"/>
  <c r="D54" i="42"/>
  <c r="A14" i="42"/>
  <c r="B30" i="42"/>
  <c r="B50" i="42"/>
  <c r="A64" i="42"/>
  <c r="B80" i="42"/>
  <c r="B29" i="42"/>
  <c r="A43" i="42"/>
  <c r="B61" i="42"/>
  <c r="B75" i="42"/>
  <c r="A45" i="42"/>
  <c r="C66" i="42"/>
  <c r="B24" i="42"/>
  <c r="B48" i="42"/>
  <c r="B64" i="42"/>
  <c r="A78" i="42"/>
  <c r="A35" i="42"/>
  <c r="A49" i="42"/>
  <c r="A63" i="42"/>
  <c r="B11" i="42"/>
  <c r="B14" i="42"/>
  <c r="A36" i="42"/>
  <c r="A58" i="42"/>
  <c r="B78" i="42"/>
  <c r="A23" i="42"/>
  <c r="B39" i="42"/>
  <c r="A55" i="42"/>
  <c r="B77" i="42"/>
  <c r="A34" i="42"/>
  <c r="D51" i="42"/>
  <c r="B12" i="42"/>
  <c r="A24" i="42"/>
  <c r="A44" i="42"/>
  <c r="A60" i="42"/>
  <c r="B76" i="42"/>
  <c r="A21" i="42"/>
  <c r="B41" i="42"/>
  <c r="A57" i="42"/>
  <c r="A71" i="42"/>
  <c r="A11" i="42"/>
  <c r="AF6" i="1"/>
  <c r="A20" i="42"/>
  <c r="B44" i="42"/>
  <c r="B60" i="42"/>
  <c r="A74" i="42"/>
  <c r="A27" i="42"/>
  <c r="B47" i="42"/>
  <c r="A59" i="42"/>
  <c r="A77" i="42"/>
  <c r="D53" i="42"/>
  <c r="B28" i="42"/>
  <c r="A54" i="42"/>
  <c r="A70" i="42"/>
  <c r="A19" i="42"/>
  <c r="B35" i="42"/>
  <c r="A51" i="42"/>
  <c r="A69" i="42"/>
  <c r="A33" i="42"/>
  <c r="A56" i="42"/>
  <c r="A53" i="42"/>
  <c r="A16" i="42"/>
  <c r="B25" i="42"/>
  <c r="C36" i="42"/>
  <c r="B17" i="42"/>
  <c r="A48" i="42"/>
  <c r="D40" i="42"/>
  <c r="C19" i="42"/>
  <c r="D65" i="42"/>
  <c r="D30" i="42"/>
  <c r="C52" i="42"/>
  <c r="C34" i="42"/>
  <c r="D31" i="42"/>
  <c r="C29" i="42"/>
  <c r="C59" i="42"/>
  <c r="D75" i="42"/>
  <c r="B38" i="42"/>
  <c r="B31" i="42"/>
  <c r="D42" i="42"/>
  <c r="D43" i="42"/>
  <c r="D62" i="42"/>
  <c r="B40" i="42"/>
  <c r="B37" i="42"/>
  <c r="A26" i="42"/>
  <c r="B72" i="42"/>
  <c r="A73" i="42"/>
  <c r="A66" i="42"/>
  <c r="B67" i="42"/>
  <c r="D80" i="42"/>
  <c r="C57" i="42"/>
  <c r="D34" i="42"/>
  <c r="C21" i="42"/>
  <c r="D66" i="42"/>
  <c r="C18" i="42"/>
  <c r="C22" i="42"/>
  <c r="A67" i="42"/>
  <c r="A22" i="42"/>
  <c r="D56" i="42"/>
  <c r="C60" i="42"/>
  <c r="C26" i="42"/>
  <c r="C71" i="42"/>
  <c r="B22" i="42"/>
  <c r="A17" i="42"/>
  <c r="A28" i="42"/>
  <c r="B56" i="42"/>
  <c r="B57" i="42"/>
  <c r="A50" i="42"/>
  <c r="B49" i="42"/>
  <c r="C64" i="42"/>
  <c r="D55" i="42"/>
  <c r="D28" i="42"/>
  <c r="C28" i="42"/>
  <c r="C13" i="42"/>
  <c r="C51" i="42"/>
  <c r="D33" i="42"/>
  <c r="D25" i="42"/>
  <c r="C16" i="42"/>
  <c r="A72" i="42"/>
  <c r="B43" i="42"/>
  <c r="D20" i="42"/>
  <c r="D49" i="42"/>
  <c r="CV7" i="1"/>
  <c r="CI7" i="1"/>
  <c r="DU7" i="1"/>
  <c r="EH7" i="1"/>
  <c r="T6" i="1"/>
  <c r="J6" i="51"/>
  <c r="C66" i="39"/>
  <c r="B14" i="39"/>
  <c r="D31" i="39"/>
  <c r="D17" i="39"/>
  <c r="C44" i="39"/>
  <c r="D46" i="39"/>
  <c r="B67" i="39"/>
  <c r="D35" i="39"/>
  <c r="C30" i="39"/>
  <c r="D58" i="39"/>
  <c r="B71" i="39"/>
  <c r="D43" i="39"/>
  <c r="B24" i="39"/>
  <c r="C56" i="39"/>
  <c r="C29" i="39"/>
  <c r="C21" i="39"/>
  <c r="D79" i="39"/>
  <c r="D36" i="39"/>
  <c r="D59" i="39"/>
  <c r="C77" i="39"/>
  <c r="C64" i="39"/>
  <c r="D71" i="39"/>
  <c r="B78" i="39"/>
  <c r="A78" i="39" s="1"/>
  <c r="B54" i="39"/>
  <c r="D38" i="39"/>
  <c r="D11" i="39"/>
  <c r="D49" i="39"/>
  <c r="D21" i="39"/>
  <c r="B28" i="39"/>
  <c r="B46" i="39"/>
  <c r="D14" i="39"/>
  <c r="C18" i="39"/>
  <c r="D51" i="39"/>
  <c r="B25" i="39"/>
  <c r="B22" i="39"/>
  <c r="D66" i="39"/>
  <c r="B42" i="39"/>
  <c r="C14" i="39"/>
  <c r="B66" i="39"/>
  <c r="D34" i="39"/>
  <c r="B49" i="39"/>
  <c r="D26" i="39"/>
  <c r="D13" i="39"/>
  <c r="C59" i="39"/>
  <c r="D41" i="39"/>
  <c r="C47" i="39"/>
  <c r="D60" i="39"/>
  <c r="C34" i="39"/>
  <c r="B68" i="39"/>
  <c r="D63" i="39"/>
  <c r="D54" i="39"/>
  <c r="C27" i="39"/>
  <c r="C28" i="39"/>
  <c r="C72" i="39"/>
  <c r="C45" i="39"/>
  <c r="D53" i="39"/>
  <c r="B61" i="39"/>
  <c r="A61" i="39" s="1"/>
  <c r="B34" i="39"/>
  <c r="B69" i="39"/>
  <c r="D52" i="39"/>
  <c r="D74" i="39"/>
  <c r="B11" i="39"/>
  <c r="B18" i="39"/>
  <c r="D75" i="39"/>
  <c r="B65" i="39"/>
  <c r="B77" i="39"/>
  <c r="B52" i="39"/>
  <c r="B47" i="39"/>
  <c r="C78" i="39"/>
  <c r="C60" i="39"/>
  <c r="B16" i="39"/>
  <c r="D68" i="39"/>
  <c r="C50" i="39"/>
  <c r="C67" i="39"/>
  <c r="C15" i="39"/>
  <c r="A67" i="39"/>
  <c r="C61" i="39"/>
  <c r="C35" i="39"/>
  <c r="C42" i="39"/>
  <c r="C80" i="39"/>
  <c r="B26" i="39"/>
  <c r="D28" i="39"/>
  <c r="D45" i="39"/>
  <c r="B72" i="39"/>
  <c r="C23" i="39"/>
  <c r="D78" i="39"/>
  <c r="C57" i="39"/>
  <c r="B63" i="39"/>
  <c r="C13" i="39"/>
  <c r="D23" i="39"/>
  <c r="B64" i="39"/>
  <c r="A64" i="39" s="1"/>
  <c r="D80" i="39"/>
  <c r="D16" i="39"/>
  <c r="B74" i="39"/>
  <c r="A74" i="39" s="1"/>
  <c r="C40" i="39"/>
  <c r="C55" i="39"/>
  <c r="C51" i="39"/>
  <c r="A63" i="39"/>
  <c r="B30" i="39"/>
  <c r="B31" i="39"/>
  <c r="C43" i="39"/>
  <c r="C65" i="39"/>
  <c r="C76" i="39"/>
  <c r="C63" i="39"/>
  <c r="C41" i="39"/>
  <c r="B36" i="39"/>
  <c r="C16" i="39"/>
  <c r="D25" i="39"/>
  <c r="C53" i="39"/>
  <c r="D22" i="39"/>
  <c r="D15" i="39"/>
  <c r="C74" i="39"/>
  <c r="B80" i="39"/>
  <c r="B17" i="39"/>
  <c r="B29" i="39"/>
  <c r="B33" i="39"/>
  <c r="C12" i="39"/>
  <c r="D73" i="39"/>
  <c r="D72" i="39"/>
  <c r="C38" i="39"/>
  <c r="C19" i="39"/>
  <c r="C49" i="39"/>
  <c r="C39" i="39"/>
  <c r="C70" i="39"/>
  <c r="D48" i="39"/>
  <c r="C25" i="39"/>
  <c r="B13" i="39"/>
  <c r="D67" i="39"/>
  <c r="B21" i="39"/>
  <c r="B58" i="39"/>
  <c r="D69" i="39"/>
  <c r="B53" i="39"/>
  <c r="D37" i="39"/>
  <c r="C36" i="39"/>
  <c r="B45" i="39"/>
  <c r="B32" i="39"/>
  <c r="D12" i="39"/>
  <c r="D65" i="39"/>
  <c r="D20" i="39"/>
  <c r="C54" i="39"/>
  <c r="B39" i="39"/>
  <c r="D29" i="39"/>
  <c r="C31" i="39"/>
  <c r="B76" i="39"/>
  <c r="B75" i="39"/>
  <c r="D57" i="39"/>
  <c r="D50" i="39"/>
  <c r="C46" i="39"/>
  <c r="B41" i="39"/>
  <c r="A66" i="39"/>
  <c r="B35" i="39"/>
  <c r="B38" i="39"/>
  <c r="B51" i="39"/>
  <c r="B79" i="39"/>
  <c r="C68" i="39"/>
  <c r="C17" i="39"/>
  <c r="A72" i="39"/>
  <c r="C22" i="39"/>
  <c r="C75" i="39"/>
  <c r="D70" i="39"/>
  <c r="B62" i="39"/>
  <c r="B56" i="39"/>
  <c r="D18" i="39"/>
  <c r="C37" i="39"/>
  <c r="D24" i="39"/>
  <c r="C20" i="39"/>
  <c r="A68" i="39"/>
  <c r="B19" i="39"/>
  <c r="C26" i="39"/>
  <c r="B43" i="39"/>
  <c r="D40" i="39"/>
  <c r="C69" i="39"/>
  <c r="D62" i="39"/>
  <c r="B73" i="39"/>
  <c r="A73" i="39" s="1"/>
  <c r="D33" i="39"/>
  <c r="B50" i="39"/>
  <c r="B70" i="39"/>
  <c r="C71" i="39"/>
  <c r="A65" i="39"/>
  <c r="C11" i="39"/>
  <c r="D55" i="39"/>
  <c r="D27" i="39"/>
  <c r="C58" i="39"/>
  <c r="D39" i="39"/>
  <c r="C24" i="39"/>
  <c r="B23" i="39"/>
  <c r="D56" i="39"/>
  <c r="D19" i="39"/>
  <c r="B57" i="39"/>
  <c r="B15" i="39"/>
  <c r="C79" i="39"/>
  <c r="B59" i="39"/>
  <c r="D44" i="39"/>
  <c r="B60" i="39"/>
  <c r="C62" i="39"/>
  <c r="D32" i="39"/>
  <c r="B27" i="39"/>
  <c r="C48" i="39"/>
  <c r="D30" i="39"/>
  <c r="D42" i="39"/>
  <c r="B20" i="39"/>
  <c r="C73" i="39"/>
  <c r="C52" i="39"/>
  <c r="B37" i="39"/>
  <c r="C32" i="39"/>
  <c r="B48" i="39"/>
  <c r="D76" i="39"/>
  <c r="C33" i="39"/>
  <c r="B55" i="39"/>
  <c r="D77" i="39"/>
  <c r="D64" i="39"/>
  <c r="B12" i="39"/>
  <c r="A12" i="39" s="1"/>
  <c r="D47" i="39"/>
  <c r="B44" i="39"/>
  <c r="D61" i="39"/>
  <c r="B40" i="39"/>
  <c r="P31" i="36"/>
  <c r="Q31" i="36" s="1"/>
  <c r="K31" i="1" s="1"/>
  <c r="DH31" i="1" s="1"/>
  <c r="N31" i="36"/>
  <c r="O31" i="36" s="1"/>
  <c r="A48" i="64"/>
  <c r="A23" i="64"/>
  <c r="A39" i="64"/>
  <c r="A16" i="64"/>
  <c r="A31" i="64"/>
  <c r="A36" i="64"/>
  <c r="A35" i="64"/>
  <c r="A40" i="53"/>
  <c r="A57" i="53"/>
  <c r="A20" i="53"/>
  <c r="A15" i="53"/>
  <c r="A41" i="53"/>
  <c r="A56" i="53"/>
  <c r="A48" i="53"/>
  <c r="A40" i="37"/>
  <c r="A17" i="53"/>
  <c r="P45" i="36"/>
  <c r="Q45" i="36" s="1"/>
  <c r="P66" i="36"/>
  <c r="Q66" i="36" s="1"/>
  <c r="P32" i="36"/>
  <c r="Q32" i="36" s="1"/>
  <c r="K32" i="1" s="1"/>
  <c r="DH32" i="1" s="1"/>
  <c r="P56" i="36"/>
  <c r="Q56" i="36" s="1"/>
  <c r="K56" i="1" s="1"/>
  <c r="DH56" i="1" s="1"/>
  <c r="P57" i="36"/>
  <c r="Q57" i="36" s="1"/>
  <c r="P27" i="36"/>
  <c r="Q27" i="36" s="1"/>
  <c r="P28" i="36"/>
  <c r="Q28" i="36" s="1"/>
  <c r="K28" i="1" s="1"/>
  <c r="DH28" i="1" s="1"/>
  <c r="P55" i="36"/>
  <c r="Q55" i="36" s="1"/>
  <c r="K55" i="1" s="1"/>
  <c r="DH55" i="1" s="1"/>
  <c r="P19" i="36"/>
  <c r="Q19" i="36" s="1"/>
  <c r="P58" i="36"/>
  <c r="Q58" i="36" s="1"/>
  <c r="K58" i="1" s="1"/>
  <c r="DH58" i="1" s="1"/>
  <c r="P29" i="36"/>
  <c r="Q29" i="36" s="1"/>
  <c r="K29" i="1" s="1"/>
  <c r="DH29" i="1" s="1"/>
  <c r="P76" i="36"/>
  <c r="Q76" i="36" s="1"/>
  <c r="A76" i="36"/>
  <c r="AV7" i="1"/>
  <c r="Q7" i="51"/>
  <c r="B27" i="65"/>
  <c r="C62" i="65"/>
  <c r="B19" i="65"/>
  <c r="B25" i="65"/>
  <c r="D36" i="65"/>
  <c r="B53" i="65"/>
  <c r="B33" i="65"/>
  <c r="C36" i="65"/>
  <c r="C20" i="65"/>
  <c r="D59" i="65"/>
  <c r="C19" i="65"/>
  <c r="A21" i="65"/>
  <c r="A42" i="65"/>
  <c r="C54" i="65"/>
  <c r="B76" i="65"/>
  <c r="M76" i="65" s="1"/>
  <c r="A20" i="65"/>
  <c r="D74" i="65"/>
  <c r="D65" i="65"/>
  <c r="B58" i="65"/>
  <c r="A73" i="65"/>
  <c r="B24" i="65"/>
  <c r="C73" i="65"/>
  <c r="B31" i="65"/>
  <c r="A75" i="65"/>
  <c r="B39" i="65"/>
  <c r="C67" i="65"/>
  <c r="C49" i="65"/>
  <c r="A26" i="65"/>
  <c r="C53" i="65"/>
  <c r="A70" i="65"/>
  <c r="A38" i="65"/>
  <c r="A16" i="65"/>
  <c r="A46" i="65"/>
  <c r="B52" i="65"/>
  <c r="A44" i="65"/>
  <c r="C64" i="65"/>
  <c r="B26" i="65"/>
  <c r="D28" i="65"/>
  <c r="D40" i="65"/>
  <c r="B40" i="65"/>
  <c r="C68" i="65"/>
  <c r="C76" i="65"/>
  <c r="C43" i="65"/>
  <c r="A18" i="65"/>
  <c r="A12" i="65"/>
  <c r="B42" i="65"/>
  <c r="C51" i="65"/>
  <c r="D57" i="65"/>
  <c r="C65" i="65"/>
  <c r="A72" i="65"/>
  <c r="C25" i="65"/>
  <c r="B59" i="65"/>
  <c r="A13" i="65"/>
  <c r="B11" i="65"/>
  <c r="A63" i="65"/>
  <c r="A48" i="65"/>
  <c r="C75" i="65"/>
  <c r="B41" i="65"/>
  <c r="A53" i="65"/>
  <c r="A76" i="65"/>
  <c r="D29" i="65"/>
  <c r="A62" i="65"/>
  <c r="D21" i="65"/>
  <c r="C27" i="65"/>
  <c r="D37" i="65"/>
  <c r="C45" i="65"/>
  <c r="B74" i="65"/>
  <c r="B21" i="65"/>
  <c r="B79" i="65"/>
  <c r="M79" i="65" s="1"/>
  <c r="C80" i="65"/>
  <c r="A41" i="65"/>
  <c r="A67" i="65"/>
  <c r="C50" i="65"/>
  <c r="B67" i="65"/>
  <c r="A15" i="65"/>
  <c r="D77" i="65"/>
  <c r="A33" i="65"/>
  <c r="B56" i="65"/>
  <c r="B34" i="65"/>
  <c r="D18" i="65"/>
  <c r="A11" i="65"/>
  <c r="A34" i="65"/>
  <c r="D34" i="65"/>
  <c r="D64" i="65"/>
  <c r="D67" i="65"/>
  <c r="D44" i="65"/>
  <c r="D35" i="65"/>
  <c r="D66" i="65"/>
  <c r="A77" i="65"/>
  <c r="D41" i="65"/>
  <c r="C40" i="65"/>
  <c r="D27" i="65"/>
  <c r="C17" i="65"/>
  <c r="C31" i="65"/>
  <c r="A66" i="65"/>
  <c r="B49" i="65"/>
  <c r="C24" i="65"/>
  <c r="A52" i="65"/>
  <c r="D52" i="65"/>
  <c r="C58" i="65"/>
  <c r="B62" i="65"/>
  <c r="A30" i="65"/>
  <c r="B72" i="65"/>
  <c r="B46" i="65"/>
  <c r="A35" i="65"/>
  <c r="B16" i="65"/>
  <c r="A60" i="65"/>
  <c r="A49" i="65"/>
  <c r="C33" i="65"/>
  <c r="B61" i="65"/>
  <c r="A36" i="65"/>
  <c r="D24" i="65"/>
  <c r="C46" i="65"/>
  <c r="D58" i="65"/>
  <c r="D71" i="65"/>
  <c r="C18" i="65"/>
  <c r="A50" i="65"/>
  <c r="D32" i="65"/>
  <c r="A55" i="65"/>
  <c r="B35" i="65"/>
  <c r="B75" i="65"/>
  <c r="M75" i="65" s="1"/>
  <c r="C14" i="65"/>
  <c r="C11" i="65"/>
  <c r="AJ6" i="1"/>
  <c r="A22" i="65"/>
  <c r="A79" i="65"/>
  <c r="A24" i="65"/>
  <c r="B18" i="65"/>
  <c r="D31" i="65"/>
  <c r="B64" i="65"/>
  <c r="C29" i="65"/>
  <c r="C63" i="65"/>
  <c r="A43" i="65"/>
  <c r="D11" i="65"/>
  <c r="C59" i="65"/>
  <c r="D15" i="65"/>
  <c r="C48" i="65"/>
  <c r="N6" i="51"/>
  <c r="A37" i="65"/>
  <c r="D42" i="65"/>
  <c r="C23" i="65"/>
  <c r="B23" i="65"/>
  <c r="B14" i="65"/>
  <c r="D63" i="65"/>
  <c r="C38" i="65"/>
  <c r="B32" i="65"/>
  <c r="B65" i="65"/>
  <c r="A25" i="65"/>
  <c r="B29" i="65"/>
  <c r="A54" i="65"/>
  <c r="B13" i="65"/>
  <c r="B50" i="65"/>
  <c r="D70" i="65"/>
  <c r="A65" i="65"/>
  <c r="C28" i="65"/>
  <c r="C52" i="65"/>
  <c r="D38" i="65"/>
  <c r="B48" i="65"/>
  <c r="B12" i="65"/>
  <c r="B80" i="65"/>
  <c r="M80" i="65" s="1"/>
  <c r="D30" i="65"/>
  <c r="B44" i="65"/>
  <c r="B38" i="65"/>
  <c r="D50" i="65"/>
  <c r="A19" i="65"/>
  <c r="D16" i="65"/>
  <c r="D69" i="65"/>
  <c r="C79" i="65"/>
  <c r="A68" i="65"/>
  <c r="D72" i="65"/>
  <c r="D47" i="65"/>
  <c r="C13" i="65"/>
  <c r="C74" i="65"/>
  <c r="D43" i="65"/>
  <c r="B78" i="65"/>
  <c r="M78" i="65" s="1"/>
  <c r="B47" i="65"/>
  <c r="D78" i="65"/>
  <c r="B71" i="65"/>
  <c r="B51" i="65"/>
  <c r="D80" i="65"/>
  <c r="C42" i="65"/>
  <c r="B28" i="65"/>
  <c r="A69" i="65"/>
  <c r="D61" i="65"/>
  <c r="A27" i="65"/>
  <c r="C61" i="65"/>
  <c r="A78" i="65"/>
  <c r="D68" i="65"/>
  <c r="A80" i="65"/>
  <c r="A57" i="65"/>
  <c r="A74" i="65"/>
  <c r="A39" i="65"/>
  <c r="B36" i="65"/>
  <c r="C21" i="65"/>
  <c r="C69" i="65"/>
  <c r="B69" i="65"/>
  <c r="C72" i="65"/>
  <c r="C22" i="65"/>
  <c r="C39" i="65"/>
  <c r="D39" i="65"/>
  <c r="A31" i="65"/>
  <c r="C41" i="65"/>
  <c r="D75" i="65"/>
  <c r="B30" i="65"/>
  <c r="D46" i="65"/>
  <c r="D48" i="65"/>
  <c r="D14" i="65"/>
  <c r="D25" i="65"/>
  <c r="D26" i="65"/>
  <c r="A58" i="65"/>
  <c r="A28" i="65"/>
  <c r="D23" i="65"/>
  <c r="C60" i="65"/>
  <c r="D20" i="65"/>
  <c r="B17" i="65"/>
  <c r="B15" i="65"/>
  <c r="D73" i="65"/>
  <c r="A71" i="65"/>
  <c r="D76" i="65"/>
  <c r="C32" i="65"/>
  <c r="D56" i="65"/>
  <c r="A47" i="65"/>
  <c r="D13" i="65"/>
  <c r="C56" i="65"/>
  <c r="C47" i="65"/>
  <c r="C66" i="65"/>
  <c r="B37" i="65"/>
  <c r="B57" i="65"/>
  <c r="C55" i="65"/>
  <c r="B73" i="65"/>
  <c r="B22" i="65"/>
  <c r="C26" i="65"/>
  <c r="B70" i="65"/>
  <c r="B55" i="65"/>
  <c r="D33" i="65"/>
  <c r="A17" i="65"/>
  <c r="C30" i="65"/>
  <c r="A56" i="65"/>
  <c r="D49" i="65"/>
  <c r="C57" i="65"/>
  <c r="D51" i="65"/>
  <c r="A61" i="65"/>
  <c r="B77" i="65"/>
  <c r="M77" i="65" s="1"/>
  <c r="B63" i="65"/>
  <c r="C35" i="65"/>
  <c r="A29" i="65"/>
  <c r="C15" i="65"/>
  <c r="C12" i="65"/>
  <c r="D19" i="65"/>
  <c r="A59" i="65"/>
  <c r="B43" i="65"/>
  <c r="C37" i="65"/>
  <c r="C34" i="65"/>
  <c r="A51" i="65"/>
  <c r="A23" i="65"/>
  <c r="C78" i="65"/>
  <c r="A45" i="65"/>
  <c r="C70" i="65"/>
  <c r="D53" i="65"/>
  <c r="D62" i="65"/>
  <c r="B66" i="65"/>
  <c r="B20" i="65"/>
  <c r="C77" i="65"/>
  <c r="D60" i="65"/>
  <c r="B68" i="65"/>
  <c r="C16" i="65"/>
  <c r="D22" i="65"/>
  <c r="A64" i="65"/>
  <c r="C71" i="65"/>
  <c r="C44" i="65"/>
  <c r="B54" i="65"/>
  <c r="D79" i="65"/>
  <c r="D54" i="65"/>
  <c r="D55" i="65"/>
  <c r="B45" i="65"/>
  <c r="D17" i="65"/>
  <c r="D45" i="65"/>
  <c r="A40" i="65"/>
  <c r="A32" i="65"/>
  <c r="A14" i="65"/>
  <c r="D12" i="65"/>
  <c r="B60" i="65"/>
  <c r="I7" i="51"/>
  <c r="P7" i="1"/>
  <c r="CP7" i="1"/>
  <c r="EO7" i="1"/>
  <c r="DC7" i="1"/>
  <c r="EB7" i="1"/>
  <c r="D48" i="40"/>
  <c r="B44" i="40"/>
  <c r="D47" i="40"/>
  <c r="C35" i="40"/>
  <c r="B65" i="40"/>
  <c r="K6" i="51"/>
  <c r="C30" i="40"/>
  <c r="B19" i="40"/>
  <c r="C31" i="40"/>
  <c r="B67" i="40"/>
  <c r="B30" i="40"/>
  <c r="D27" i="40"/>
  <c r="B27" i="40"/>
  <c r="D43" i="40"/>
  <c r="B32" i="40"/>
  <c r="B79" i="40"/>
  <c r="A79" i="40" s="1"/>
  <c r="C15" i="40"/>
  <c r="D14" i="40"/>
  <c r="B50" i="40"/>
  <c r="C18" i="40"/>
  <c r="D12" i="40"/>
  <c r="C48" i="40"/>
  <c r="B78" i="40"/>
  <c r="C49" i="40"/>
  <c r="C59" i="40"/>
  <c r="B11" i="40"/>
  <c r="B20" i="40"/>
  <c r="B15" i="40"/>
  <c r="B56" i="40"/>
  <c r="C74" i="40"/>
  <c r="D67" i="40"/>
  <c r="B35" i="40"/>
  <c r="D72" i="40"/>
  <c r="D23" i="40"/>
  <c r="D63" i="40"/>
  <c r="C12" i="40"/>
  <c r="C14" i="40"/>
  <c r="D42" i="40"/>
  <c r="D65" i="40"/>
  <c r="D46" i="40"/>
  <c r="D79" i="40"/>
  <c r="X6" i="1"/>
  <c r="D31" i="40"/>
  <c r="C23" i="40"/>
  <c r="B42" i="40"/>
  <c r="C78" i="40"/>
  <c r="B48" i="40"/>
  <c r="D38" i="40"/>
  <c r="C57" i="40"/>
  <c r="B62" i="40"/>
  <c r="C22" i="40"/>
  <c r="D37" i="40"/>
  <c r="D29" i="40"/>
  <c r="D18" i="40"/>
  <c r="B24" i="40"/>
  <c r="D44" i="40"/>
  <c r="C44" i="40"/>
  <c r="B54" i="40"/>
  <c r="D24" i="40"/>
  <c r="C75" i="40"/>
  <c r="D60" i="40"/>
  <c r="C21" i="40"/>
  <c r="C58" i="40"/>
  <c r="B37" i="40"/>
  <c r="C79" i="40"/>
  <c r="D28" i="40"/>
  <c r="C66" i="40"/>
  <c r="B72" i="40"/>
  <c r="A72" i="40" s="1"/>
  <c r="B61" i="40"/>
  <c r="B33" i="40"/>
  <c r="B34" i="40"/>
  <c r="C45" i="40"/>
  <c r="B57" i="40"/>
  <c r="D71" i="40"/>
  <c r="D36" i="40"/>
  <c r="B60" i="40"/>
  <c r="D73" i="40"/>
  <c r="D41" i="40"/>
  <c r="C62" i="40"/>
  <c r="B76" i="40"/>
  <c r="A76" i="40" s="1"/>
  <c r="B22" i="40"/>
  <c r="B36" i="40"/>
  <c r="B68" i="40"/>
  <c r="C29" i="40"/>
  <c r="D68" i="40"/>
  <c r="B58" i="40"/>
  <c r="D39" i="40"/>
  <c r="C60" i="40"/>
  <c r="D53" i="40"/>
  <c r="D34" i="40"/>
  <c r="C40" i="40"/>
  <c r="D74" i="40"/>
  <c r="C13" i="40"/>
  <c r="A78" i="40"/>
  <c r="C72" i="40"/>
  <c r="D17" i="40"/>
  <c r="B75" i="40"/>
  <c r="C37" i="40"/>
  <c r="D15" i="40"/>
  <c r="C42" i="40"/>
  <c r="D45" i="40"/>
  <c r="C53" i="40"/>
  <c r="B29" i="40"/>
  <c r="C76" i="40"/>
  <c r="B17" i="40"/>
  <c r="C26" i="40"/>
  <c r="D11" i="40"/>
  <c r="B55" i="40"/>
  <c r="C67" i="40"/>
  <c r="D59" i="40"/>
  <c r="B25" i="40"/>
  <c r="C56" i="40"/>
  <c r="C64" i="40"/>
  <c r="D51" i="40"/>
  <c r="D77" i="40"/>
  <c r="B41" i="40"/>
  <c r="D70" i="40"/>
  <c r="B39" i="40"/>
  <c r="C32" i="40"/>
  <c r="B31" i="40"/>
  <c r="D80" i="40"/>
  <c r="C34" i="40"/>
  <c r="D78" i="40"/>
  <c r="B28" i="40"/>
  <c r="C36" i="40"/>
  <c r="D75" i="40"/>
  <c r="D13" i="40"/>
  <c r="C43" i="40"/>
  <c r="D57" i="40"/>
  <c r="C41" i="40"/>
  <c r="C20" i="40"/>
  <c r="C19" i="40"/>
  <c r="D64" i="40"/>
  <c r="D35" i="40"/>
  <c r="C63" i="40"/>
  <c r="C52" i="40"/>
  <c r="D40" i="40"/>
  <c r="D30" i="40"/>
  <c r="D32" i="40"/>
  <c r="D25" i="40"/>
  <c r="C25" i="40"/>
  <c r="C68" i="40"/>
  <c r="C38" i="40"/>
  <c r="B73" i="40"/>
  <c r="D16" i="40"/>
  <c r="B49" i="40"/>
  <c r="D50" i="40"/>
  <c r="C27" i="40"/>
  <c r="B47" i="40"/>
  <c r="B43" i="40"/>
  <c r="D58" i="40"/>
  <c r="A11" i="40"/>
  <c r="C55" i="40"/>
  <c r="C33" i="40"/>
  <c r="B16" i="40"/>
  <c r="D52" i="40"/>
  <c r="C65" i="40"/>
  <c r="B21" i="40"/>
  <c r="B53" i="40"/>
  <c r="C77" i="40"/>
  <c r="D69" i="40"/>
  <c r="B71" i="40"/>
  <c r="A71" i="40" s="1"/>
  <c r="D66" i="40"/>
  <c r="D22" i="40"/>
  <c r="B66" i="40"/>
  <c r="D19" i="40"/>
  <c r="B13" i="40"/>
  <c r="B40" i="40"/>
  <c r="B63" i="40"/>
  <c r="D49" i="40"/>
  <c r="D76" i="40"/>
  <c r="C70" i="40"/>
  <c r="C54" i="40"/>
  <c r="B64" i="40"/>
  <c r="B38" i="40"/>
  <c r="B14" i="40"/>
  <c r="C69" i="40"/>
  <c r="C73" i="40"/>
  <c r="B74" i="40"/>
  <c r="D21" i="40"/>
  <c r="B51" i="40"/>
  <c r="D62" i="40"/>
  <c r="A67" i="40"/>
  <c r="D55" i="40"/>
  <c r="B46" i="40"/>
  <c r="C51" i="40"/>
  <c r="C50" i="40"/>
  <c r="B69" i="40"/>
  <c r="C71" i="40"/>
  <c r="B70" i="40"/>
  <c r="A62" i="40"/>
  <c r="B23" i="40"/>
  <c r="D33" i="40"/>
  <c r="D56" i="40"/>
  <c r="B12" i="40"/>
  <c r="C39" i="40"/>
  <c r="B59" i="40"/>
  <c r="C80" i="40"/>
  <c r="B80" i="40"/>
  <c r="C46" i="40"/>
  <c r="B26" i="40"/>
  <c r="C17" i="40"/>
  <c r="B45" i="40"/>
  <c r="C11" i="40"/>
  <c r="C61" i="40"/>
  <c r="D20" i="40"/>
  <c r="C47" i="40"/>
  <c r="B52" i="40"/>
  <c r="D26" i="40"/>
  <c r="C28" i="40"/>
  <c r="D54" i="40"/>
  <c r="B77" i="40"/>
  <c r="A77" i="40" s="1"/>
  <c r="C24" i="40"/>
  <c r="C16" i="40"/>
  <c r="D61" i="40"/>
  <c r="B18" i="40"/>
  <c r="A77" i="36"/>
  <c r="P77" i="36"/>
  <c r="Q77" i="36" s="1"/>
  <c r="A50" i="53"/>
  <c r="A53" i="53"/>
  <c r="A46" i="64"/>
  <c r="A21" i="64"/>
  <c r="A24" i="64"/>
  <c r="A18" i="64"/>
  <c r="A47" i="64"/>
  <c r="A53" i="64"/>
  <c r="A40" i="64"/>
  <c r="A39" i="53"/>
  <c r="A22" i="53"/>
  <c r="A31" i="53"/>
  <c r="A52" i="53"/>
  <c r="A48" i="37"/>
  <c r="P68" i="36"/>
  <c r="Q68" i="36" s="1"/>
  <c r="A66" i="36"/>
  <c r="P72" i="36"/>
  <c r="Q72" i="36" s="1"/>
  <c r="P42" i="36"/>
  <c r="Q42" i="36" s="1"/>
  <c r="P33" i="36"/>
  <c r="Q33" i="36" s="1"/>
  <c r="P20" i="36"/>
  <c r="Q20" i="36" s="1"/>
  <c r="K20" i="1" s="1"/>
  <c r="DH20" i="1" s="1"/>
  <c r="P50" i="36"/>
  <c r="Q50" i="36" s="1"/>
  <c r="K50" i="1" s="1"/>
  <c r="DH50" i="1" s="1"/>
  <c r="P78" i="36"/>
  <c r="Q78" i="36" s="1"/>
  <c r="P60" i="55"/>
  <c r="N46" i="36"/>
  <c r="I46" i="1" s="1"/>
  <c r="P46" i="36"/>
  <c r="Q46" i="36" s="1"/>
  <c r="K46" i="1" s="1"/>
  <c r="DH46" i="1" s="1"/>
  <c r="A46" i="36"/>
  <c r="A53" i="36"/>
  <c r="N53" i="36"/>
  <c r="O53" i="36" s="1"/>
  <c r="P53" i="36"/>
  <c r="Q53" i="36" s="1"/>
  <c r="P72" i="37"/>
  <c r="Q72" i="37" s="1"/>
  <c r="O72" i="37"/>
  <c r="N72" i="37"/>
  <c r="P28" i="37"/>
  <c r="Q28" i="37" s="1"/>
  <c r="O28" i="1" s="1"/>
  <c r="DI28" i="1" s="1"/>
  <c r="N28" i="37"/>
  <c r="O28" i="37" s="1"/>
  <c r="P42" i="37"/>
  <c r="Q42" i="37" s="1"/>
  <c r="N42" i="37"/>
  <c r="N45" i="37"/>
  <c r="O45" i="37" s="1"/>
  <c r="P45" i="37"/>
  <c r="Q45" i="37" s="1"/>
  <c r="O45" i="1" s="1"/>
  <c r="DI45" i="1" s="1"/>
  <c r="P49" i="37"/>
  <c r="Q49" i="37" s="1"/>
  <c r="N49" i="37"/>
  <c r="O49" i="37" s="1"/>
  <c r="N21" i="37"/>
  <c r="O21" i="37" s="1"/>
  <c r="P21" i="37"/>
  <c r="Q21" i="37" s="1"/>
  <c r="O21" i="1" s="1"/>
  <c r="DI21" i="1" s="1"/>
  <c r="P51" i="37"/>
  <c r="Q51" i="37" s="1"/>
  <c r="N51" i="37"/>
  <c r="O51" i="37" s="1"/>
  <c r="P36" i="36"/>
  <c r="Q36" i="36" s="1"/>
  <c r="K36" i="1" s="1"/>
  <c r="DH36" i="1" s="1"/>
  <c r="N36" i="36"/>
  <c r="O36" i="36" s="1"/>
  <c r="A36" i="36"/>
  <c r="N25" i="36"/>
  <c r="O25" i="36" s="1"/>
  <c r="A25" i="36"/>
  <c r="P25" i="36"/>
  <c r="Q25" i="36" s="1"/>
  <c r="N79" i="37"/>
  <c r="O79" i="37"/>
  <c r="P79" i="37"/>
  <c r="Q79" i="37" s="1"/>
  <c r="P71" i="37"/>
  <c r="Q71" i="37" s="1"/>
  <c r="O71" i="37"/>
  <c r="N71" i="37"/>
  <c r="N15" i="37"/>
  <c r="O15" i="37" s="1"/>
  <c r="P15" i="37"/>
  <c r="Q15" i="37" s="1"/>
  <c r="O15" i="1" s="1"/>
  <c r="DI15" i="1" s="1"/>
  <c r="N17" i="37"/>
  <c r="O17" i="37" s="1"/>
  <c r="P17" i="37"/>
  <c r="Q17" i="37" s="1"/>
  <c r="O17" i="1" s="1"/>
  <c r="DI17" i="1" s="1"/>
  <c r="N59" i="37"/>
  <c r="O59" i="37" s="1"/>
  <c r="P59" i="37"/>
  <c r="Q59" i="37" s="1"/>
  <c r="P53" i="37"/>
  <c r="Q53" i="37" s="1"/>
  <c r="O53" i="1" s="1"/>
  <c r="DI53" i="1" s="1"/>
  <c r="A53" i="37"/>
  <c r="N53" i="37"/>
  <c r="O53" i="37" s="1"/>
  <c r="N75" i="37"/>
  <c r="P75" i="37"/>
  <c r="Q75" i="37" s="1"/>
  <c r="O75" i="37"/>
  <c r="P54" i="37"/>
  <c r="Q54" i="37" s="1"/>
  <c r="N54" i="37"/>
  <c r="N69" i="37"/>
  <c r="P69" i="37"/>
  <c r="Q69" i="37" s="1"/>
  <c r="O69" i="37"/>
  <c r="A38" i="36"/>
  <c r="N38" i="36"/>
  <c r="I38" i="1" s="1"/>
  <c r="P38" i="36"/>
  <c r="Q38" i="36" s="1"/>
  <c r="K38" i="1" s="1"/>
  <c r="DH38" i="1" s="1"/>
  <c r="N44" i="36"/>
  <c r="O44" i="36" s="1"/>
  <c r="P44" i="36"/>
  <c r="Q44" i="36" s="1"/>
  <c r="N49" i="36"/>
  <c r="O49" i="36" s="1"/>
  <c r="P49" i="36"/>
  <c r="Q49" i="36" s="1"/>
  <c r="K49" i="1" s="1"/>
  <c r="DH49" i="1" s="1"/>
  <c r="A49" i="36"/>
  <c r="N12" i="36"/>
  <c r="O12" i="36" s="1"/>
  <c r="A59" i="36"/>
  <c r="A27" i="36"/>
  <c r="A39" i="36"/>
  <c r="A42" i="36"/>
  <c r="A13" i="36"/>
  <c r="A29" i="36"/>
  <c r="A31" i="36"/>
  <c r="A19" i="36"/>
  <c r="A35" i="36"/>
  <c r="A52" i="36"/>
  <c r="A12" i="36"/>
  <c r="A14" i="36"/>
  <c r="A47" i="36"/>
  <c r="A55" i="36"/>
  <c r="P12" i="36"/>
  <c r="Q12" i="36" s="1"/>
  <c r="K12" i="1" s="1"/>
  <c r="DH12" i="1" s="1"/>
  <c r="A43" i="36"/>
  <c r="A23" i="36"/>
  <c r="A16" i="36"/>
  <c r="P73" i="37"/>
  <c r="Q73" i="37" s="1"/>
  <c r="N73" i="37"/>
  <c r="O73" i="37"/>
  <c r="O74" i="37"/>
  <c r="N74" i="37"/>
  <c r="P74" i="37"/>
  <c r="Q74" i="37" s="1"/>
  <c r="N57" i="37"/>
  <c r="M57" i="1" s="1"/>
  <c r="P57" i="37"/>
  <c r="Q57" i="37" s="1"/>
  <c r="P29" i="37"/>
  <c r="Q29" i="37" s="1"/>
  <c r="N29" i="37"/>
  <c r="O29" i="37" s="1"/>
  <c r="P19" i="37"/>
  <c r="Q19" i="37" s="1"/>
  <c r="O19" i="1" s="1"/>
  <c r="DI19" i="1" s="1"/>
  <c r="N19" i="37"/>
  <c r="O76" i="37"/>
  <c r="P76" i="37"/>
  <c r="Q76" i="37" s="1"/>
  <c r="N76" i="37"/>
  <c r="P46" i="37"/>
  <c r="Q46" i="37" s="1"/>
  <c r="N46" i="37"/>
  <c r="M46" i="1" s="1"/>
  <c r="N56" i="37"/>
  <c r="O56" i="37" s="1"/>
  <c r="P56" i="37"/>
  <c r="Q56" i="37" s="1"/>
  <c r="O56" i="1" s="1"/>
  <c r="DI56" i="1" s="1"/>
  <c r="N50" i="37"/>
  <c r="O50" i="37" s="1"/>
  <c r="P50" i="37"/>
  <c r="Q50" i="37" s="1"/>
  <c r="O50" i="1" s="1"/>
  <c r="DI50" i="1" s="1"/>
  <c r="N35" i="37"/>
  <c r="O35" i="37" s="1"/>
  <c r="P35" i="37"/>
  <c r="Q35" i="37" s="1"/>
  <c r="O35" i="1" s="1"/>
  <c r="DI35" i="1" s="1"/>
  <c r="EH1" i="1"/>
  <c r="CI1" i="1"/>
  <c r="L19" i="1"/>
  <c r="L26" i="1"/>
  <c r="CV1" i="1"/>
  <c r="L61" i="1"/>
  <c r="L16" i="1"/>
  <c r="DI1" i="1"/>
  <c r="BV1" i="1"/>
  <c r="DU1" i="1"/>
  <c r="L17" i="1"/>
  <c r="L62" i="1"/>
  <c r="L37" i="1"/>
  <c r="L32" i="1"/>
  <c r="L47" i="1"/>
  <c r="L64" i="1"/>
  <c r="L48" i="1"/>
  <c r="L63" i="1"/>
  <c r="L20" i="1"/>
  <c r="L24" i="1"/>
  <c r="O74" i="1"/>
  <c r="DI74" i="1" s="1"/>
  <c r="L22" i="1"/>
  <c r="L50" i="1"/>
  <c r="L29" i="1"/>
  <c r="L25" i="1"/>
  <c r="L71" i="1"/>
  <c r="L57" i="1"/>
  <c r="O62" i="1"/>
  <c r="DI62" i="1" s="1"/>
  <c r="M74" i="1"/>
  <c r="M35" i="1"/>
  <c r="M75" i="1"/>
  <c r="O80" i="1"/>
  <c r="DI80" i="1" s="1"/>
  <c r="O78" i="1"/>
  <c r="DI78" i="1" s="1"/>
  <c r="M65" i="1"/>
  <c r="M73" i="1"/>
  <c r="M58" i="1"/>
  <c r="M78" i="1"/>
  <c r="L12" i="1"/>
  <c r="O70" i="1"/>
  <c r="DI70" i="1" s="1"/>
  <c r="M63" i="1"/>
  <c r="O46" i="1"/>
  <c r="DI46" i="1" s="1"/>
  <c r="O29" i="1"/>
  <c r="DI29" i="1" s="1"/>
  <c r="L51" i="1"/>
  <c r="L72" i="1"/>
  <c r="L65" i="1"/>
  <c r="L46" i="1"/>
  <c r="L36" i="1"/>
  <c r="L34" i="1"/>
  <c r="L44" i="1"/>
  <c r="L45" i="1"/>
  <c r="L38" i="1"/>
  <c r="O57" i="1"/>
  <c r="DI57" i="1" s="1"/>
  <c r="O54" i="1"/>
  <c r="DI54" i="1" s="1"/>
  <c r="L54" i="1"/>
  <c r="L67" i="1"/>
  <c r="L52" i="1"/>
  <c r="L58" i="1"/>
  <c r="L73" i="1"/>
  <c r="O71" i="1"/>
  <c r="DI71" i="1" s="1"/>
  <c r="L78" i="1"/>
  <c r="M79" i="1"/>
  <c r="O14" i="1"/>
  <c r="DI14" i="1" s="1"/>
  <c r="O66" i="1"/>
  <c r="DI66" i="1" s="1"/>
  <c r="M72" i="1"/>
  <c r="M11" i="1"/>
  <c r="O11" i="1"/>
  <c r="DI11" i="1" s="1"/>
  <c r="O79" i="1"/>
  <c r="DI79" i="1" s="1"/>
  <c r="O77" i="1"/>
  <c r="DI77" i="1" s="1"/>
  <c r="M14" i="1"/>
  <c r="O63" i="1"/>
  <c r="DI63" i="1" s="1"/>
  <c r="M56" i="1"/>
  <c r="M70" i="1"/>
  <c r="L40" i="1"/>
  <c r="L56" i="1"/>
  <c r="O69" i="1"/>
  <c r="DI69" i="1" s="1"/>
  <c r="L41" i="1"/>
  <c r="L42" i="1"/>
  <c r="L70" i="1"/>
  <c r="O72" i="1"/>
  <c r="DI72" i="1" s="1"/>
  <c r="L49" i="1"/>
  <c r="L23" i="1"/>
  <c r="M64" i="1"/>
  <c r="O59" i="1"/>
  <c r="DI59" i="1" s="1"/>
  <c r="L79" i="1"/>
  <c r="L76" i="1"/>
  <c r="O58" i="1"/>
  <c r="DI58" i="1" s="1"/>
  <c r="M53" i="1"/>
  <c r="O76" i="1"/>
  <c r="DI76" i="1" s="1"/>
  <c r="O67" i="1"/>
  <c r="DI67" i="1" s="1"/>
  <c r="M48" i="1"/>
  <c r="M15" i="1"/>
  <c r="M61" i="1"/>
  <c r="L31" i="1"/>
  <c r="L69" i="1"/>
  <c r="L39" i="1"/>
  <c r="L15" i="1"/>
  <c r="O64" i="1"/>
  <c r="DI64" i="1" s="1"/>
  <c r="L28" i="1"/>
  <c r="O73" i="1"/>
  <c r="DI73" i="1" s="1"/>
  <c r="L27" i="1"/>
  <c r="L33" i="1"/>
  <c r="O51" i="1"/>
  <c r="DI51" i="1" s="1"/>
  <c r="L80" i="1"/>
  <c r="M80" i="1"/>
  <c r="L75" i="1"/>
  <c r="M38" i="1"/>
  <c r="M18" i="1"/>
  <c r="O42" i="1"/>
  <c r="DI42" i="1" s="1"/>
  <c r="L66" i="1"/>
  <c r="L55" i="1"/>
  <c r="M67" i="1"/>
  <c r="M77" i="1"/>
  <c r="O49" i="1"/>
  <c r="DI49" i="1" s="1"/>
  <c r="L53" i="1"/>
  <c r="L18" i="1"/>
  <c r="O61" i="1"/>
  <c r="DI61" i="1" s="1"/>
  <c r="L30" i="1"/>
  <c r="O75" i="1"/>
  <c r="DI75" i="1" s="1"/>
  <c r="O34" i="1"/>
  <c r="DI34" i="1" s="1"/>
  <c r="M71" i="1"/>
  <c r="M76" i="1"/>
  <c r="O68" i="1"/>
  <c r="DI68" i="1" s="1"/>
  <c r="L59" i="1"/>
  <c r="M62" i="1"/>
  <c r="L60" i="1"/>
  <c r="L74" i="1"/>
  <c r="L35" i="1"/>
  <c r="M21" i="1"/>
  <c r="L77" i="1"/>
  <c r="M66" i="1"/>
  <c r="M50" i="1"/>
  <c r="L13" i="1"/>
  <c r="M69" i="1"/>
  <c r="M68" i="1"/>
  <c r="L11" i="1"/>
  <c r="M29" i="1"/>
  <c r="L43" i="1"/>
  <c r="O65" i="1"/>
  <c r="DI65" i="1" s="1"/>
  <c r="L21" i="1"/>
  <c r="M28" i="1"/>
  <c r="M34" i="1"/>
  <c r="L68" i="1"/>
  <c r="P48" i="37"/>
  <c r="Q48" i="37" s="1"/>
  <c r="O48" i="1" s="1"/>
  <c r="DI48" i="1" s="1"/>
  <c r="L14" i="1"/>
  <c r="O80" i="37"/>
  <c r="P80" i="37"/>
  <c r="Q80" i="37" s="1"/>
  <c r="N80" i="37"/>
  <c r="P25" i="37"/>
  <c r="Q25" i="37" s="1"/>
  <c r="O25" i="1" s="1"/>
  <c r="DI25" i="1" s="1"/>
  <c r="N25" i="37"/>
  <c r="O25" i="37" s="1"/>
  <c r="P23" i="37"/>
  <c r="Q23" i="37" s="1"/>
  <c r="O23" i="1" s="1"/>
  <c r="DI23" i="1" s="1"/>
  <c r="N23" i="37"/>
  <c r="M23" i="1" s="1"/>
  <c r="P12" i="37"/>
  <c r="Q12" i="37" s="1"/>
  <c r="O12" i="1" s="1"/>
  <c r="DI12" i="1" s="1"/>
  <c r="N12" i="37"/>
  <c r="M12" i="1" s="1"/>
  <c r="N31" i="37"/>
  <c r="M31" i="1" s="1"/>
  <c r="P31" i="37"/>
  <c r="Q31" i="37" s="1"/>
  <c r="O31" i="1" s="1"/>
  <c r="DI31" i="1" s="1"/>
  <c r="P16" i="37"/>
  <c r="Q16" i="37" s="1"/>
  <c r="O16" i="1" s="1"/>
  <c r="DI16" i="1" s="1"/>
  <c r="N16" i="37"/>
  <c r="M16" i="1" s="1"/>
  <c r="A34" i="53"/>
  <c r="A33" i="64"/>
  <c r="A55" i="64"/>
  <c r="A26" i="64"/>
  <c r="A58" i="64"/>
  <c r="A37" i="64"/>
  <c r="A28" i="53"/>
  <c r="A51" i="53"/>
  <c r="A46" i="53"/>
  <c r="A32" i="53"/>
  <c r="A48" i="36"/>
  <c r="A49" i="37"/>
  <c r="A38" i="37"/>
  <c r="A28" i="37"/>
  <c r="A20" i="37"/>
  <c r="A59" i="53"/>
  <c r="A20" i="36"/>
  <c r="A34" i="36"/>
  <c r="O17" i="53"/>
  <c r="AS17" i="1" s="1"/>
  <c r="A14" i="53"/>
  <c r="A29" i="53"/>
  <c r="A37" i="53"/>
  <c r="A40" i="36"/>
  <c r="A56" i="36"/>
  <c r="A21" i="36"/>
  <c r="A46" i="37"/>
  <c r="A19" i="37"/>
  <c r="A42" i="37"/>
  <c r="A44" i="37"/>
  <c r="A59" i="37"/>
  <c r="A23" i="37"/>
  <c r="A56" i="37"/>
  <c r="A50" i="37"/>
  <c r="A54" i="36"/>
  <c r="P47" i="55"/>
  <c r="A13" i="53"/>
  <c r="A38" i="53"/>
  <c r="A34" i="64"/>
  <c r="A52" i="64"/>
  <c r="A51" i="64"/>
  <c r="A44" i="64"/>
  <c r="A11" i="64"/>
  <c r="A20" i="64"/>
  <c r="A17" i="64"/>
  <c r="A35" i="53"/>
  <c r="AS64" i="1"/>
  <c r="EC64" i="1" s="1"/>
  <c r="EP64" i="1" s="1"/>
  <c r="O11" i="37"/>
  <c r="A45" i="53"/>
  <c r="A21" i="53"/>
  <c r="A12" i="53"/>
  <c r="A30" i="36"/>
  <c r="A24" i="36"/>
  <c r="A15" i="37"/>
  <c r="A14" i="37"/>
  <c r="A47" i="37"/>
  <c r="A30" i="37"/>
  <c r="A69" i="37"/>
  <c r="A25" i="37"/>
  <c r="A39" i="37"/>
  <c r="A74" i="37"/>
  <c r="A31" i="37"/>
  <c r="A57" i="37"/>
  <c r="A23" i="53"/>
  <c r="A45" i="36"/>
  <c r="A28" i="36"/>
  <c r="N17" i="36"/>
  <c r="O17" i="36" s="1"/>
  <c r="A17" i="36"/>
  <c r="P17" i="36"/>
  <c r="Q17" i="36" s="1"/>
  <c r="N41" i="36"/>
  <c r="O41" i="36" s="1"/>
  <c r="A41" i="36"/>
  <c r="P41" i="36"/>
  <c r="Q41" i="36" s="1"/>
  <c r="K41" i="1" s="1"/>
  <c r="DH41" i="1" s="1"/>
  <c r="O65" i="36"/>
  <c r="N65" i="36"/>
  <c r="A65" i="36"/>
  <c r="P65" i="36"/>
  <c r="Q65" i="36" s="1"/>
  <c r="N60" i="37"/>
  <c r="P60" i="37"/>
  <c r="Q60" i="37" s="1"/>
  <c r="O60" i="1" s="1"/>
  <c r="DI60" i="1" s="1"/>
  <c r="N26" i="37"/>
  <c r="O26" i="37" s="1"/>
  <c r="P26" i="37"/>
  <c r="Q26" i="37" s="1"/>
  <c r="O26" i="1" s="1"/>
  <c r="DI26" i="1" s="1"/>
  <c r="N13" i="37"/>
  <c r="M13" i="1" s="1"/>
  <c r="P13" i="37"/>
  <c r="Q13" i="37" s="1"/>
  <c r="O13" i="1" s="1"/>
  <c r="DI13" i="1" s="1"/>
  <c r="N37" i="37"/>
  <c r="P37" i="37"/>
  <c r="Q37" i="37" s="1"/>
  <c r="O37" i="1" s="1"/>
  <c r="DI37" i="1" s="1"/>
  <c r="P62" i="37"/>
  <c r="Q62" i="37" s="1"/>
  <c r="N62" i="37"/>
  <c r="O62" i="37"/>
  <c r="O77" i="37"/>
  <c r="N77" i="37"/>
  <c r="P77" i="37"/>
  <c r="Q77" i="37" s="1"/>
  <c r="N67" i="37"/>
  <c r="O67" i="37"/>
  <c r="P67" i="37"/>
  <c r="Q67" i="37" s="1"/>
  <c r="CU7" i="1"/>
  <c r="H63" i="1"/>
  <c r="I64" i="1"/>
  <c r="I62" i="1"/>
  <c r="DT7" i="1"/>
  <c r="EG7" i="1"/>
  <c r="K67" i="1"/>
  <c r="DH67" i="1" s="1"/>
  <c r="K14" i="1"/>
  <c r="DH14" i="1" s="1"/>
  <c r="CH7" i="1"/>
  <c r="K34" i="1"/>
  <c r="DH34" i="1" s="1"/>
  <c r="H77" i="1"/>
  <c r="BU77" i="1" s="1"/>
  <c r="I40" i="1"/>
  <c r="I20" i="1"/>
  <c r="K66" i="1"/>
  <c r="DH66" i="1" s="1"/>
  <c r="I12" i="1"/>
  <c r="H49" i="1"/>
  <c r="H67" i="1"/>
  <c r="H25" i="1"/>
  <c r="K79" i="1"/>
  <c r="DH79" i="1" s="1"/>
  <c r="H26" i="1"/>
  <c r="H29" i="1"/>
  <c r="K27" i="1"/>
  <c r="DH27" i="1" s="1"/>
  <c r="K71" i="1"/>
  <c r="DH71" i="1" s="1"/>
  <c r="I73" i="1"/>
  <c r="H38" i="1"/>
  <c r="I79" i="1"/>
  <c r="H27" i="1"/>
  <c r="K33" i="1"/>
  <c r="DH33" i="1" s="1"/>
  <c r="H19" i="1"/>
  <c r="H51" i="1"/>
  <c r="H79" i="1"/>
  <c r="K13" i="1"/>
  <c r="DH13" i="1" s="1"/>
  <c r="H56" i="1"/>
  <c r="I78" i="1"/>
  <c r="K61" i="1"/>
  <c r="DH61" i="1" s="1"/>
  <c r="K44" i="1"/>
  <c r="DH44" i="1" s="1"/>
  <c r="K78" i="1"/>
  <c r="DH78" i="1" s="1"/>
  <c r="H15" i="1"/>
  <c r="H69" i="1"/>
  <c r="H24" i="1"/>
  <c r="K48" i="1"/>
  <c r="DH48" i="1" s="1"/>
  <c r="I32" i="1"/>
  <c r="I36" i="1"/>
  <c r="H62" i="1"/>
  <c r="K42" i="1"/>
  <c r="DH42" i="1" s="1"/>
  <c r="K80" i="1"/>
  <c r="DH80" i="1" s="1"/>
  <c r="I33" i="1"/>
  <c r="I59" i="1"/>
  <c r="I51" i="1"/>
  <c r="I70" i="1"/>
  <c r="K74" i="1"/>
  <c r="DH74" i="1" s="1"/>
  <c r="K26" i="1"/>
  <c r="DH26" i="1" s="1"/>
  <c r="I58" i="1"/>
  <c r="I21" i="1"/>
  <c r="I14" i="1"/>
  <c r="K51" i="1"/>
  <c r="DH51" i="1" s="1"/>
  <c r="I47" i="1"/>
  <c r="I57" i="1"/>
  <c r="H21" i="1"/>
  <c r="H42" i="1"/>
  <c r="I63" i="1"/>
  <c r="H60" i="1"/>
  <c r="K53" i="1"/>
  <c r="DH53" i="1" s="1"/>
  <c r="H34" i="1"/>
  <c r="I56" i="1"/>
  <c r="I74" i="1"/>
  <c r="I11" i="1"/>
  <c r="I19" i="1"/>
  <c r="K70" i="1"/>
  <c r="DH70" i="1" s="1"/>
  <c r="I27" i="1"/>
  <c r="I37" i="1"/>
  <c r="H54" i="1"/>
  <c r="I75" i="1"/>
  <c r="I13" i="1"/>
  <c r="I61" i="1"/>
  <c r="K15" i="1"/>
  <c r="DH15" i="1" s="1"/>
  <c r="H71" i="1"/>
  <c r="H45" i="1"/>
  <c r="K25" i="1"/>
  <c r="DH25" i="1" s="1"/>
  <c r="I80" i="1"/>
  <c r="H59" i="1"/>
  <c r="K69" i="1"/>
  <c r="DH69" i="1" s="1"/>
  <c r="I52" i="1"/>
  <c r="I67" i="1"/>
  <c r="H52" i="1"/>
  <c r="H11" i="1"/>
  <c r="I16" i="1"/>
  <c r="H13" i="1"/>
  <c r="H35" i="1"/>
  <c r="I77" i="1"/>
  <c r="I71" i="1"/>
  <c r="K65" i="1"/>
  <c r="DH65" i="1" s="1"/>
  <c r="K73" i="1"/>
  <c r="DH73" i="1" s="1"/>
  <c r="H20" i="1"/>
  <c r="H32" i="1"/>
  <c r="H68" i="1"/>
  <c r="H43" i="1"/>
  <c r="K37" i="1"/>
  <c r="DH37" i="1" s="1"/>
  <c r="I72" i="1"/>
  <c r="I26" i="1"/>
  <c r="I48" i="1"/>
  <c r="H46" i="1"/>
  <c r="K76" i="1"/>
  <c r="DH76" i="1" s="1"/>
  <c r="I34" i="1"/>
  <c r="I15" i="1"/>
  <c r="K19" i="1"/>
  <c r="DH19" i="1" s="1"/>
  <c r="I66" i="1"/>
  <c r="H57" i="1"/>
  <c r="H23" i="1"/>
  <c r="I60" i="1"/>
  <c r="I29" i="1"/>
  <c r="H31" i="1"/>
  <c r="H17" i="1"/>
  <c r="H22" i="1"/>
  <c r="I69" i="1"/>
  <c r="H18" i="1"/>
  <c r="H39" i="1"/>
  <c r="H61" i="1"/>
  <c r="H48" i="1"/>
  <c r="I68" i="1"/>
  <c r="K60" i="1"/>
  <c r="DH60" i="1" s="1"/>
  <c r="K64" i="1"/>
  <c r="DH64" i="1" s="1"/>
  <c r="H55" i="1"/>
  <c r="K77" i="1"/>
  <c r="DH77" i="1" s="1"/>
  <c r="H76" i="1"/>
  <c r="K11" i="1"/>
  <c r="DH11" i="1" s="1"/>
  <c r="H78" i="1"/>
  <c r="H14" i="1"/>
  <c r="I76" i="1"/>
  <c r="I23" i="1"/>
  <c r="H72" i="1"/>
  <c r="K75" i="1"/>
  <c r="DH75" i="1" s="1"/>
  <c r="H70" i="1"/>
  <c r="K43" i="1"/>
  <c r="DH43" i="1" s="1"/>
  <c r="I54" i="1"/>
  <c r="I45" i="1"/>
  <c r="H66" i="1"/>
  <c r="H53" i="1"/>
  <c r="I50" i="1"/>
  <c r="K63" i="1"/>
  <c r="DH63" i="1" s="1"/>
  <c r="H75" i="1"/>
  <c r="H33" i="1"/>
  <c r="H50" i="1"/>
  <c r="H41" i="1"/>
  <c r="H16" i="1"/>
  <c r="I28" i="1"/>
  <c r="K21" i="1"/>
  <c r="DH21" i="1" s="1"/>
  <c r="K45" i="1"/>
  <c r="DH45" i="1" s="1"/>
  <c r="H80" i="1"/>
  <c r="H30" i="1"/>
  <c r="H64" i="1"/>
  <c r="I42" i="1"/>
  <c r="I17" i="1"/>
  <c r="H74" i="1"/>
  <c r="K72" i="1"/>
  <c r="DH72" i="1" s="1"/>
  <c r="H47" i="1"/>
  <c r="K62" i="1"/>
  <c r="DH62" i="1" s="1"/>
  <c r="I30" i="1"/>
  <c r="I55" i="1"/>
  <c r="H37" i="1"/>
  <c r="K57" i="1"/>
  <c r="DH57" i="1" s="1"/>
  <c r="K17" i="1"/>
  <c r="DH17" i="1" s="1"/>
  <c r="I35" i="1"/>
  <c r="I18" i="1"/>
  <c r="H40" i="1"/>
  <c r="K35" i="1"/>
  <c r="DH35" i="1" s="1"/>
  <c r="I24" i="1"/>
  <c r="H36" i="1"/>
  <c r="H58" i="1"/>
  <c r="I44" i="1"/>
  <c r="K68" i="1"/>
  <c r="DH68" i="1" s="1"/>
  <c r="H44" i="1"/>
  <c r="H73" i="1"/>
  <c r="H28" i="1"/>
  <c r="H12" i="1"/>
  <c r="I41" i="1"/>
  <c r="K54" i="1"/>
  <c r="DH54" i="1" s="1"/>
  <c r="K16" i="1"/>
  <c r="DH16" i="1" s="1"/>
  <c r="H65" i="1"/>
  <c r="K47" i="1"/>
  <c r="DH47" i="1" s="1"/>
  <c r="I65" i="1"/>
  <c r="N22" i="36"/>
  <c r="I22" i="1" s="1"/>
  <c r="P22" i="36"/>
  <c r="Q22" i="36" s="1"/>
  <c r="K22" i="1" s="1"/>
  <c r="DH22" i="1" s="1"/>
  <c r="A22" i="36"/>
  <c r="N24" i="37"/>
  <c r="M24" i="1" s="1"/>
  <c r="P24" i="37"/>
  <c r="Q24" i="37" s="1"/>
  <c r="O24" i="1" s="1"/>
  <c r="DI24" i="1" s="1"/>
  <c r="N41" i="37"/>
  <c r="P41" i="37"/>
  <c r="Q41" i="37" s="1"/>
  <c r="O41" i="1" s="1"/>
  <c r="DI41" i="1" s="1"/>
  <c r="P33" i="37"/>
  <c r="Q33" i="37" s="1"/>
  <c r="O33" i="1" s="1"/>
  <c r="DI33" i="1" s="1"/>
  <c r="N33" i="37"/>
  <c r="M33" i="1" s="1"/>
  <c r="N64" i="37"/>
  <c r="P64" i="37"/>
  <c r="Q64" i="37" s="1"/>
  <c r="O64" i="37"/>
  <c r="P40" i="37"/>
  <c r="N40" i="37"/>
  <c r="M40" i="1" s="1"/>
  <c r="Q40" i="37"/>
  <c r="O40" i="1" s="1"/>
  <c r="DI40" i="1" s="1"/>
  <c r="P47" i="37"/>
  <c r="Q47" i="37" s="1"/>
  <c r="O47" i="1" s="1"/>
  <c r="DI47" i="1" s="1"/>
  <c r="N47" i="37"/>
  <c r="M47" i="1" s="1"/>
  <c r="N55" i="37"/>
  <c r="M55" i="1" s="1"/>
  <c r="P55" i="37"/>
  <c r="Q55" i="37" s="1"/>
  <c r="O55" i="1" s="1"/>
  <c r="DI55" i="1" s="1"/>
  <c r="N61" i="37"/>
  <c r="O61" i="37"/>
  <c r="P61" i="37"/>
  <c r="Q61" i="37" s="1"/>
  <c r="A61" i="37"/>
  <c r="P44" i="37"/>
  <c r="Q44" i="37" s="1"/>
  <c r="O44" i="1" s="1"/>
  <c r="DI44" i="1" s="1"/>
  <c r="N44" i="37"/>
  <c r="M44" i="1" s="1"/>
  <c r="A22" i="64"/>
  <c r="A25" i="64"/>
  <c r="A60" i="64"/>
  <c r="A57" i="64"/>
  <c r="A58" i="53"/>
  <c r="A55" i="53"/>
  <c r="A43" i="53"/>
  <c r="A24" i="53"/>
  <c r="A26" i="36"/>
  <c r="A58" i="36"/>
  <c r="A44" i="36"/>
  <c r="A27" i="37"/>
  <c r="A58" i="37"/>
  <c r="A24" i="37"/>
  <c r="A32" i="37"/>
  <c r="A60" i="53"/>
  <c r="A37" i="36"/>
  <c r="A38" i="64"/>
  <c r="A32" i="64"/>
  <c r="A56" i="64"/>
  <c r="A54" i="64"/>
  <c r="A45" i="64"/>
  <c r="A14" i="64"/>
  <c r="A26" i="53"/>
  <c r="A18" i="53"/>
  <c r="A25" i="53"/>
  <c r="A51" i="36"/>
  <c r="A54" i="37"/>
  <c r="A41" i="37"/>
  <c r="A26" i="37"/>
  <c r="A17" i="37"/>
  <c r="A60" i="37"/>
  <c r="A18" i="37"/>
  <c r="A16" i="37"/>
  <c r="A62" i="37"/>
  <c r="A36" i="37"/>
  <c r="A52" i="37"/>
  <c r="A60" i="36"/>
  <c r="A54" i="53"/>
  <c r="AS73" i="1"/>
  <c r="CQ73" i="1" s="1"/>
  <c r="DD73" i="1" s="1"/>
  <c r="AS78" i="1"/>
  <c r="CD78" i="1" s="1"/>
  <c r="A47" i="53"/>
  <c r="A27" i="53"/>
  <c r="A50" i="36"/>
  <c r="A32" i="36"/>
  <c r="A34" i="37"/>
  <c r="A33" i="37"/>
  <c r="A45" i="37"/>
  <c r="A55" i="37"/>
  <c r="A37" i="37"/>
  <c r="A51" i="37"/>
  <c r="A35" i="37"/>
  <c r="A22" i="37"/>
  <c r="A79" i="37"/>
  <c r="A72" i="37"/>
  <c r="A21" i="37"/>
  <c r="A13" i="37"/>
  <c r="A43" i="37"/>
  <c r="A76" i="37"/>
  <c r="A57" i="36"/>
  <c r="A33" i="36"/>
  <c r="EC63" i="1"/>
  <c r="EP63" i="1" s="1"/>
  <c r="P60" i="51"/>
  <c r="CQ63" i="1"/>
  <c r="DD63" i="1" s="1"/>
  <c r="CD63" i="1"/>
  <c r="O50" i="53"/>
  <c r="AS50" i="1" s="1"/>
  <c r="O63" i="53"/>
  <c r="P63" i="53"/>
  <c r="O33" i="64"/>
  <c r="P33" i="64" s="1"/>
  <c r="O45" i="64"/>
  <c r="O41" i="64"/>
  <c r="P41" i="64" s="1"/>
  <c r="P79" i="64"/>
  <c r="O79" i="64"/>
  <c r="EC75" i="1"/>
  <c r="EP75" i="1" s="1"/>
  <c r="CQ75" i="1"/>
  <c r="DD75" i="1" s="1"/>
  <c r="CD75" i="1"/>
  <c r="P72" i="51"/>
  <c r="EC80" i="1"/>
  <c r="EP80" i="1" s="1"/>
  <c r="CQ80" i="1"/>
  <c r="DD80" i="1" s="1"/>
  <c r="P77" i="51"/>
  <c r="CD80" i="1"/>
  <c r="EC62" i="1"/>
  <c r="EP62" i="1" s="1"/>
  <c r="CD62" i="1"/>
  <c r="P59" i="51"/>
  <c r="CQ62" i="1"/>
  <c r="DD62" i="1" s="1"/>
  <c r="O72" i="53"/>
  <c r="P72" i="53"/>
  <c r="P69" i="53"/>
  <c r="O69" i="53"/>
  <c r="O29" i="53"/>
  <c r="AS29" i="1" s="1"/>
  <c r="O79" i="53"/>
  <c r="P79" i="53"/>
  <c r="O25" i="53"/>
  <c r="O30" i="53"/>
  <c r="P30" i="53" s="1"/>
  <c r="O46" i="64"/>
  <c r="P46" i="64" s="1"/>
  <c r="O14" i="64"/>
  <c r="P14" i="64" s="1"/>
  <c r="P69" i="64"/>
  <c r="O69" i="64"/>
  <c r="O38" i="64"/>
  <c r="P38" i="64" s="1"/>
  <c r="O57" i="64"/>
  <c r="BA57" i="1" s="1"/>
  <c r="O24" i="64"/>
  <c r="BA24" i="1" s="1"/>
  <c r="O19" i="64"/>
  <c r="P19" i="64" s="1"/>
  <c r="O32" i="64"/>
  <c r="P32" i="64" s="1"/>
  <c r="O42" i="64"/>
  <c r="BA42" i="1" s="1"/>
  <c r="O78" i="64"/>
  <c r="P78" i="64"/>
  <c r="O11" i="64"/>
  <c r="O16" i="64"/>
  <c r="P16" i="64" s="1"/>
  <c r="P75" i="64"/>
  <c r="O75" i="64"/>
  <c r="O34" i="64"/>
  <c r="BA34" i="1" s="1"/>
  <c r="O49" i="64"/>
  <c r="P49" i="64" s="1"/>
  <c r="O61" i="64"/>
  <c r="P61" i="64"/>
  <c r="O56" i="64"/>
  <c r="P56" i="64" s="1"/>
  <c r="O39" i="64"/>
  <c r="BA39" i="1" s="1"/>
  <c r="O51" i="64"/>
  <c r="P51" i="64" s="1"/>
  <c r="O26" i="64"/>
  <c r="BA26" i="1" s="1"/>
  <c r="O58" i="64"/>
  <c r="P58" i="64" s="1"/>
  <c r="O44" i="64"/>
  <c r="BA44" i="1" s="1"/>
  <c r="P78" i="53"/>
  <c r="O78" i="53"/>
  <c r="O58" i="53"/>
  <c r="P58" i="53" s="1"/>
  <c r="O61" i="53"/>
  <c r="P61" i="53"/>
  <c r="O53" i="53"/>
  <c r="O77" i="53"/>
  <c r="P77" i="53"/>
  <c r="O45" i="53"/>
  <c r="P45" i="53" s="1"/>
  <c r="O66" i="53"/>
  <c r="P66" i="53"/>
  <c r="O38" i="53"/>
  <c r="P38" i="53" s="1"/>
  <c r="O59" i="53"/>
  <c r="AS59" i="1" s="1"/>
  <c r="P75" i="53"/>
  <c r="O75" i="53"/>
  <c r="O27" i="53"/>
  <c r="AS27" i="1" s="1"/>
  <c r="AS77" i="1"/>
  <c r="AS52" i="1"/>
  <c r="AS67" i="1"/>
  <c r="AS23" i="1"/>
  <c r="AS74" i="1"/>
  <c r="O52" i="64"/>
  <c r="O62" i="64"/>
  <c r="P62" i="64"/>
  <c r="O31" i="64"/>
  <c r="P31" i="64" s="1"/>
  <c r="O70" i="64"/>
  <c r="P70" i="64"/>
  <c r="O14" i="53"/>
  <c r="P70" i="51"/>
  <c r="EC76" i="1"/>
  <c r="EP76" i="1" s="1"/>
  <c r="CQ76" i="1"/>
  <c r="DD76" i="1" s="1"/>
  <c r="P73" i="51"/>
  <c r="CD76" i="1"/>
  <c r="CD64" i="1"/>
  <c r="P61" i="51"/>
  <c r="EC66" i="1"/>
  <c r="EP66" i="1" s="1"/>
  <c r="P63" i="51"/>
  <c r="CD66" i="1"/>
  <c r="CQ66" i="1"/>
  <c r="DD66" i="1" s="1"/>
  <c r="O39" i="53"/>
  <c r="AS39" i="1" s="1"/>
  <c r="O22" i="53"/>
  <c r="AS22" i="1" s="1"/>
  <c r="O55" i="53"/>
  <c r="AS55" i="1" s="1"/>
  <c r="O40" i="53"/>
  <c r="P67" i="53"/>
  <c r="O67" i="53"/>
  <c r="CQ7" i="1"/>
  <c r="EP7" i="1"/>
  <c r="DD7" i="1"/>
  <c r="EC7" i="1"/>
  <c r="O11" i="53"/>
  <c r="P11" i="53" s="1"/>
  <c r="O49" i="53"/>
  <c r="AS49" i="1" s="1"/>
  <c r="O24" i="53"/>
  <c r="AS24" i="1" s="1"/>
  <c r="P70" i="53"/>
  <c r="O70" i="53"/>
  <c r="O12" i="53"/>
  <c r="P12" i="53" s="1"/>
  <c r="P72" i="64"/>
  <c r="O72" i="64"/>
  <c r="O21" i="64"/>
  <c r="P21" i="64" s="1"/>
  <c r="O68" i="64"/>
  <c r="P68" i="64"/>
  <c r="O80" i="64"/>
  <c r="P80" i="64"/>
  <c r="P63" i="64"/>
  <c r="O63" i="64"/>
  <c r="O48" i="64"/>
  <c r="P48" i="64" s="1"/>
  <c r="O23" i="64"/>
  <c r="P23" i="64" s="1"/>
  <c r="O22" i="64"/>
  <c r="P22" i="64" s="1"/>
  <c r="O18" i="64"/>
  <c r="O74" i="64"/>
  <c r="P74" i="64"/>
  <c r="O17" i="64"/>
  <c r="P17" i="64" s="1"/>
  <c r="O55" i="64"/>
  <c r="O15" i="64"/>
  <c r="P15" i="64" s="1"/>
  <c r="O29" i="64"/>
  <c r="P29" i="64" s="1"/>
  <c r="O43" i="64"/>
  <c r="BA43" i="1" s="1"/>
  <c r="O71" i="64"/>
  <c r="P71" i="64"/>
  <c r="O59" i="64"/>
  <c r="BA59" i="1" s="1"/>
  <c r="BA68" i="1"/>
  <c r="BA73" i="1"/>
  <c r="BA56" i="1"/>
  <c r="BA33" i="1"/>
  <c r="ER1" i="1"/>
  <c r="CS1" i="1"/>
  <c r="DF1" i="1"/>
  <c r="DS1" i="1"/>
  <c r="EE1" i="1"/>
  <c r="CF1" i="1"/>
  <c r="BA74" i="1"/>
  <c r="BA77" i="1"/>
  <c r="BA64" i="1"/>
  <c r="BA70" i="1"/>
  <c r="BA78" i="1"/>
  <c r="BA79" i="1"/>
  <c r="BA75" i="1"/>
  <c r="BA76" i="1"/>
  <c r="BA69" i="1"/>
  <c r="BA72" i="1"/>
  <c r="BA80" i="1"/>
  <c r="BA65" i="1"/>
  <c r="BA29" i="1"/>
  <c r="BA15" i="1"/>
  <c r="BA66" i="1"/>
  <c r="BA62" i="1"/>
  <c r="BA61" i="1"/>
  <c r="BA63" i="1"/>
  <c r="BA22" i="1"/>
  <c r="BA71" i="1"/>
  <c r="O36" i="64"/>
  <c r="P76" i="64"/>
  <c r="O76" i="64"/>
  <c r="O35" i="64"/>
  <c r="P35" i="64" s="1"/>
  <c r="O19" i="53"/>
  <c r="P19" i="53" s="1"/>
  <c r="O33" i="53"/>
  <c r="O26" i="53"/>
  <c r="AS26" i="1" s="1"/>
  <c r="P64" i="53"/>
  <c r="O64" i="53"/>
  <c r="O35" i="53"/>
  <c r="P35" i="53" s="1"/>
  <c r="O37" i="53"/>
  <c r="P37" i="53" s="1"/>
  <c r="O44" i="53"/>
  <c r="P44" i="53" s="1"/>
  <c r="O32" i="53"/>
  <c r="P32" i="53" s="1"/>
  <c r="O47" i="53"/>
  <c r="P47" i="53" s="1"/>
  <c r="O21" i="53"/>
  <c r="P21" i="53" s="1"/>
  <c r="O28" i="53"/>
  <c r="AS28" i="1" s="1"/>
  <c r="O36" i="53"/>
  <c r="P36" i="53" s="1"/>
  <c r="O54" i="53"/>
  <c r="P54" i="53" s="1"/>
  <c r="O18" i="53"/>
  <c r="AS18" i="1" s="1"/>
  <c r="O51" i="53"/>
  <c r="P51" i="53" s="1"/>
  <c r="AS72" i="1"/>
  <c r="AS79" i="1"/>
  <c r="AS70" i="1"/>
  <c r="AS68" i="1"/>
  <c r="O60" i="64"/>
  <c r="BA60" i="1" s="1"/>
  <c r="O47" i="64"/>
  <c r="O73" i="64"/>
  <c r="P73" i="64"/>
  <c r="O20" i="64"/>
  <c r="O13" i="64"/>
  <c r="BA13" i="1" s="1"/>
  <c r="EC69" i="1"/>
  <c r="EP69" i="1" s="1"/>
  <c r="P66" i="51"/>
  <c r="CQ69" i="1"/>
  <c r="DD69" i="1" s="1"/>
  <c r="CD69" i="1"/>
  <c r="P75" i="51"/>
  <c r="O31" i="53"/>
  <c r="AS31" i="1" s="1"/>
  <c r="O73" i="53"/>
  <c r="P73" i="53"/>
  <c r="O46" i="53"/>
  <c r="P46" i="53" s="1"/>
  <c r="P68" i="53"/>
  <c r="O68" i="53"/>
  <c r="O27" i="64"/>
  <c r="P27" i="64" s="1"/>
  <c r="O30" i="64"/>
  <c r="BA30" i="1" s="1"/>
  <c r="O64" i="64"/>
  <c r="P64" i="64"/>
  <c r="O25" i="64"/>
  <c r="BA25" i="1" s="1"/>
  <c r="O28" i="64"/>
  <c r="BA28" i="1" s="1"/>
  <c r="O50" i="64"/>
  <c r="BA50" i="1" s="1"/>
  <c r="P66" i="64"/>
  <c r="O66" i="64"/>
  <c r="O65" i="64"/>
  <c r="P65" i="64"/>
  <c r="O67" i="64"/>
  <c r="P67" i="64"/>
  <c r="O37" i="64"/>
  <c r="P37" i="64" s="1"/>
  <c r="O53" i="64"/>
  <c r="BA53" i="1" s="1"/>
  <c r="O54" i="64"/>
  <c r="BA54" i="1" s="1"/>
  <c r="O12" i="64"/>
  <c r="BA12" i="1" s="1"/>
  <c r="O77" i="64"/>
  <c r="P77" i="64"/>
  <c r="O40" i="64"/>
  <c r="BA40" i="1" s="1"/>
  <c r="BA67" i="1"/>
  <c r="EE7" i="1"/>
  <c r="CS7" i="1"/>
  <c r="ER7" i="1"/>
  <c r="DF7" i="1"/>
  <c r="O43" i="53"/>
  <c r="AS43" i="1" s="1"/>
  <c r="P43" i="53"/>
  <c r="O16" i="53"/>
  <c r="P16" i="53" s="1"/>
  <c r="O13" i="53"/>
  <c r="AS13" i="1" s="1"/>
  <c r="O42" i="53"/>
  <c r="AS42" i="1" s="1"/>
  <c r="P42" i="53"/>
  <c r="O57" i="53"/>
  <c r="P57" i="53" s="1"/>
  <c r="O34" i="53"/>
  <c r="P34" i="53" s="1"/>
  <c r="P74" i="53"/>
  <c r="O74" i="53"/>
  <c r="O62" i="53"/>
  <c r="P62" i="53"/>
  <c r="O20" i="53"/>
  <c r="AS20" i="1" s="1"/>
  <c r="P71" i="53"/>
  <c r="O71" i="53"/>
  <c r="P65" i="53"/>
  <c r="O65" i="53"/>
  <c r="O15" i="53"/>
  <c r="P15" i="53" s="1"/>
  <c r="P76" i="53"/>
  <c r="O76" i="53"/>
  <c r="O41" i="53"/>
  <c r="AS41" i="1" s="1"/>
  <c r="O56" i="53"/>
  <c r="AS56" i="1" s="1"/>
  <c r="O48" i="53"/>
  <c r="P48" i="53" s="1"/>
  <c r="P80" i="53"/>
  <c r="O80" i="53"/>
  <c r="BD7" i="1"/>
  <c r="AS30" i="1"/>
  <c r="AS61" i="1"/>
  <c r="AS21" i="1"/>
  <c r="AS51" i="1"/>
  <c r="AS71" i="1"/>
  <c r="AS32" i="1"/>
  <c r="AS65" i="1"/>
  <c r="AS60" i="1"/>
  <c r="K83" i="67"/>
  <c r="K86" i="67"/>
  <c r="M11" i="67"/>
  <c r="AO11" i="1"/>
  <c r="AO20" i="1"/>
  <c r="AO77" i="1"/>
  <c r="AO24" i="1"/>
  <c r="AO28" i="1"/>
  <c r="AO69" i="1"/>
  <c r="AO68" i="1"/>
  <c r="AO58" i="1"/>
  <c r="AO30" i="1"/>
  <c r="AO71" i="1"/>
  <c r="AO45" i="1"/>
  <c r="AO65" i="1"/>
  <c r="AO75" i="1"/>
  <c r="AO62" i="1"/>
  <c r="AO40" i="1"/>
  <c r="AO73" i="1"/>
  <c r="AO54" i="1"/>
  <c r="AO43" i="1"/>
  <c r="DC1" i="1"/>
  <c r="CP1" i="1"/>
  <c r="AO22" i="1"/>
  <c r="AO36" i="1"/>
  <c r="AO42" i="1"/>
  <c r="AO14" i="1"/>
  <c r="AO55" i="1"/>
  <c r="AO56" i="1"/>
  <c r="AO44" i="1"/>
  <c r="AO16" i="1"/>
  <c r="AO57" i="1"/>
  <c r="AO29" i="1"/>
  <c r="AO37" i="1"/>
  <c r="AO17" i="1"/>
  <c r="AO34" i="1"/>
  <c r="AO60" i="1"/>
  <c r="AO67" i="1"/>
  <c r="AO18" i="1"/>
  <c r="AO61" i="1"/>
  <c r="EB1" i="1"/>
  <c r="AO25" i="1"/>
  <c r="AO13" i="1"/>
  <c r="AO38" i="1"/>
  <c r="AO33" i="1"/>
  <c r="AO78" i="1"/>
  <c r="AO50" i="1"/>
  <c r="AO63" i="1"/>
  <c r="AO35" i="1"/>
  <c r="AO80" i="1"/>
  <c r="AO59" i="1"/>
  <c r="AO79" i="1"/>
  <c r="AO23" i="1"/>
  <c r="AO76" i="1"/>
  <c r="AO52" i="1"/>
  <c r="AO32" i="1"/>
  <c r="AO39" i="1"/>
  <c r="AO12" i="1"/>
  <c r="AO53" i="1"/>
  <c r="CC1" i="1"/>
  <c r="EO1" i="1"/>
  <c r="AO19" i="1"/>
  <c r="AO21" i="1"/>
  <c r="AO31" i="1"/>
  <c r="AO74" i="1"/>
  <c r="AO27" i="1"/>
  <c r="AO64" i="1"/>
  <c r="AO66" i="1"/>
  <c r="AO48" i="1"/>
  <c r="AO46" i="1"/>
  <c r="AO47" i="1"/>
  <c r="AO49" i="1"/>
  <c r="AO51" i="1"/>
  <c r="AO26" i="1"/>
  <c r="AO70" i="1"/>
  <c r="AO15" i="1"/>
  <c r="AO72" i="1"/>
  <c r="DP1" i="1"/>
  <c r="AO41" i="1"/>
  <c r="H84" i="67"/>
  <c r="H86" i="67"/>
  <c r="H83" i="67"/>
  <c r="M21" i="67"/>
  <c r="H87" i="67"/>
  <c r="H88" i="67"/>
  <c r="H85" i="67"/>
  <c r="F82" i="67"/>
  <c r="AS11" i="1" l="1"/>
  <c r="O46" i="37"/>
  <c r="A36" i="38"/>
  <c r="P39" i="37"/>
  <c r="Q39" i="37" s="1"/>
  <c r="O39" i="1" s="1"/>
  <c r="DI39" i="1" s="1"/>
  <c r="N39" i="37"/>
  <c r="N43" i="37"/>
  <c r="P43" i="37"/>
  <c r="Q43" i="37" s="1"/>
  <c r="O43" i="1" s="1"/>
  <c r="DI43" i="1" s="1"/>
  <c r="N20" i="37"/>
  <c r="P20" i="37"/>
  <c r="Q20" i="37" s="1"/>
  <c r="O20" i="1" s="1"/>
  <c r="DI20" i="1" s="1"/>
  <c r="A70" i="37"/>
  <c r="N70" i="37"/>
  <c r="P70" i="37"/>
  <c r="Q70" i="37" s="1"/>
  <c r="O70" i="37"/>
  <c r="P32" i="37"/>
  <c r="Q32" i="37" s="1"/>
  <c r="O32" i="1" s="1"/>
  <c r="DI32" i="1" s="1"/>
  <c r="N32" i="37"/>
  <c r="A11" i="37"/>
  <c r="N30" i="37"/>
  <c r="P30" i="37"/>
  <c r="Q30" i="37" s="1"/>
  <c r="O30" i="1" s="1"/>
  <c r="DI30" i="1" s="1"/>
  <c r="P59" i="64"/>
  <c r="A42" i="38"/>
  <c r="A24" i="55"/>
  <c r="P22" i="37"/>
  <c r="Q22" i="37" s="1"/>
  <c r="O22" i="1" s="1"/>
  <c r="DI22" i="1" s="1"/>
  <c r="N22" i="37"/>
  <c r="O63" i="37"/>
  <c r="N63" i="37"/>
  <c r="P63" i="37"/>
  <c r="Q63" i="37" s="1"/>
  <c r="A63" i="37"/>
  <c r="A66" i="37"/>
  <c r="N66" i="37"/>
  <c r="O66" i="37"/>
  <c r="N65" i="37"/>
  <c r="P65" i="37"/>
  <c r="Q65" i="37" s="1"/>
  <c r="A65" i="37"/>
  <c r="O65" i="37"/>
  <c r="A78" i="37"/>
  <c r="N78" i="37"/>
  <c r="O78" i="37"/>
  <c r="N36" i="37"/>
  <c r="P36" i="37"/>
  <c r="Q36" i="37" s="1"/>
  <c r="O36" i="1" s="1"/>
  <c r="DI36" i="1" s="1"/>
  <c r="P27" i="37"/>
  <c r="Q27" i="37" s="1"/>
  <c r="O27" i="1" s="1"/>
  <c r="DI27" i="1" s="1"/>
  <c r="N27" i="37"/>
  <c r="N52" i="37"/>
  <c r="P52" i="37"/>
  <c r="Q52" i="37" s="1"/>
  <c r="O52" i="1" s="1"/>
  <c r="DI52" i="1" s="1"/>
  <c r="A68" i="37"/>
  <c r="N68" i="37"/>
  <c r="O68" i="37"/>
  <c r="A12" i="37"/>
  <c r="A22" i="39"/>
  <c r="P22" i="53"/>
  <c r="EC73" i="1"/>
  <c r="EP73" i="1" s="1"/>
  <c r="P30" i="64"/>
  <c r="AS44" i="1"/>
  <c r="CD44" i="1" s="1"/>
  <c r="BA38" i="1"/>
  <c r="BA16" i="1"/>
  <c r="CD73" i="1"/>
  <c r="P34" i="64"/>
  <c r="I49" i="1"/>
  <c r="I43" i="1"/>
  <c r="M49" i="1"/>
  <c r="M17" i="1"/>
  <c r="H14" i="51" s="1"/>
  <c r="A38" i="38"/>
  <c r="A54" i="38"/>
  <c r="A28" i="38"/>
  <c r="A20" i="38"/>
  <c r="A21" i="38"/>
  <c r="A51" i="38"/>
  <c r="A60" i="55"/>
  <c r="BA46" i="1"/>
  <c r="EE46" i="1" s="1"/>
  <c r="ER46" i="1" s="1"/>
  <c r="M45" i="1"/>
  <c r="A40" i="39"/>
  <c r="A28" i="39"/>
  <c r="A34" i="39"/>
  <c r="A46" i="39"/>
  <c r="A59" i="38"/>
  <c r="A55" i="38"/>
  <c r="A56" i="38"/>
  <c r="A11" i="38"/>
  <c r="A25" i="55"/>
  <c r="F82" i="64"/>
  <c r="A46" i="38"/>
  <c r="A39" i="55"/>
  <c r="BA47" i="1"/>
  <c r="P47" i="64"/>
  <c r="AS33" i="1"/>
  <c r="P30" i="51" s="1"/>
  <c r="P33" i="53"/>
  <c r="BA36" i="1"/>
  <c r="P36" i="64"/>
  <c r="P14" i="53"/>
  <c r="AS14" i="1"/>
  <c r="P45" i="64"/>
  <c r="BA45" i="1"/>
  <c r="O42" i="37"/>
  <c r="M42" i="1"/>
  <c r="N70" i="40"/>
  <c r="P70" i="40"/>
  <c r="Q70" i="40" s="1"/>
  <c r="A70" i="40"/>
  <c r="O70" i="40"/>
  <c r="Q17" i="40"/>
  <c r="AA17" i="1" s="1"/>
  <c r="DL17" i="1" s="1"/>
  <c r="P17" i="40"/>
  <c r="N17" i="40"/>
  <c r="O17" i="40" s="1"/>
  <c r="A17" i="40"/>
  <c r="O75" i="40"/>
  <c r="N75" i="40"/>
  <c r="P75" i="40"/>
  <c r="Q75" i="40" s="1"/>
  <c r="A75" i="40"/>
  <c r="BA52" i="1"/>
  <c r="P52" i="64"/>
  <c r="O19" i="37"/>
  <c r="M19" i="1"/>
  <c r="Q50" i="40"/>
  <c r="P50" i="40"/>
  <c r="N50" i="40"/>
  <c r="O50" i="40" s="1"/>
  <c r="A50" i="40"/>
  <c r="N30" i="40"/>
  <c r="O30" i="40" s="1"/>
  <c r="P30" i="40"/>
  <c r="Q30" i="40" s="1"/>
  <c r="A30" i="40"/>
  <c r="EQ7" i="1"/>
  <c r="DE7" i="1"/>
  <c r="ED7" i="1"/>
  <c r="CR7" i="1"/>
  <c r="AW52" i="1"/>
  <c r="AW43" i="1"/>
  <c r="AW54" i="1"/>
  <c r="CR54" i="1" s="1"/>
  <c r="DE54" i="1" s="1"/>
  <c r="AW24" i="1"/>
  <c r="Q21" i="51" s="1"/>
  <c r="AW44" i="1"/>
  <c r="AW56" i="1"/>
  <c r="P11" i="64"/>
  <c r="BA11" i="1"/>
  <c r="R8" i="51" s="1"/>
  <c r="O54" i="37"/>
  <c r="M54" i="1"/>
  <c r="DU54" i="1" s="1"/>
  <c r="EH54" i="1" s="1"/>
  <c r="O63" i="40"/>
  <c r="N63" i="40"/>
  <c r="P63" i="40"/>
  <c r="Q63" i="40" s="1"/>
  <c r="A63" i="40"/>
  <c r="P66" i="40"/>
  <c r="Q66" i="40" s="1"/>
  <c r="N66" i="40"/>
  <c r="O66" i="40"/>
  <c r="A66" i="40"/>
  <c r="BA31" i="1"/>
  <c r="AS46" i="1"/>
  <c r="CD46" i="1" s="1"/>
  <c r="BA19" i="1"/>
  <c r="EE19" i="1" s="1"/>
  <c r="ER19" i="1" s="1"/>
  <c r="P55" i="64"/>
  <c r="BA55" i="1"/>
  <c r="P18" i="64"/>
  <c r="BA18" i="1"/>
  <c r="CF18" i="1" s="1"/>
  <c r="P53" i="53"/>
  <c r="AS53" i="1"/>
  <c r="M60" i="1"/>
  <c r="O60" i="37"/>
  <c r="N14" i="40"/>
  <c r="O14" i="40" s="1"/>
  <c r="P14" i="40"/>
  <c r="Q14" i="40" s="1"/>
  <c r="A14" i="40"/>
  <c r="N68" i="40"/>
  <c r="P68" i="40"/>
  <c r="Q68" i="40" s="1"/>
  <c r="O68" i="40"/>
  <c r="A68" i="40"/>
  <c r="P34" i="40"/>
  <c r="Q34" i="40" s="1"/>
  <c r="AA34" i="1" s="1"/>
  <c r="DL34" i="1" s="1"/>
  <c r="N34" i="40"/>
  <c r="O34" i="40" s="1"/>
  <c r="A34" i="40"/>
  <c r="N24" i="40"/>
  <c r="O24" i="40" s="1"/>
  <c r="P24" i="40"/>
  <c r="Q24" i="40" s="1"/>
  <c r="AA24" i="1" s="1"/>
  <c r="DL24" i="1" s="1"/>
  <c r="A24" i="40"/>
  <c r="N48" i="40"/>
  <c r="O48" i="40" s="1"/>
  <c r="P48" i="40"/>
  <c r="Q48" i="40" s="1"/>
  <c r="A48" i="40"/>
  <c r="N20" i="40"/>
  <c r="O20" i="40" s="1"/>
  <c r="P20" i="40"/>
  <c r="Q20" i="40" s="1"/>
  <c r="AA20" i="1" s="1"/>
  <c r="DL20" i="1" s="1"/>
  <c r="A20" i="40"/>
  <c r="O78" i="40"/>
  <c r="P78" i="40"/>
  <c r="Q78" i="40" s="1"/>
  <c r="N78" i="40"/>
  <c r="N32" i="40"/>
  <c r="O32" i="40" s="1"/>
  <c r="P32" i="40"/>
  <c r="Q32" i="40" s="1"/>
  <c r="A32" i="40"/>
  <c r="BA20" i="1"/>
  <c r="P20" i="64"/>
  <c r="AS40" i="1"/>
  <c r="P40" i="53"/>
  <c r="P25" i="53"/>
  <c r="AS25" i="1"/>
  <c r="CQ25" i="1" s="1"/>
  <c r="DD25" i="1" s="1"/>
  <c r="M41" i="1"/>
  <c r="O41" i="37"/>
  <c r="M37" i="1"/>
  <c r="O37" i="37"/>
  <c r="A26" i="40"/>
  <c r="P26" i="40"/>
  <c r="Q26" i="40" s="1"/>
  <c r="AA26" i="1" s="1"/>
  <c r="DL26" i="1" s="1"/>
  <c r="N26" i="40"/>
  <c r="O26" i="40" s="1"/>
  <c r="P59" i="40"/>
  <c r="Q59" i="40" s="1"/>
  <c r="N59" i="40"/>
  <c r="O59" i="40" s="1"/>
  <c r="A59" i="40"/>
  <c r="P43" i="40"/>
  <c r="Q43" i="40" s="1"/>
  <c r="N43" i="40"/>
  <c r="O43" i="40" s="1"/>
  <c r="A43" i="40"/>
  <c r="N49" i="40"/>
  <c r="O49" i="40" s="1"/>
  <c r="P49" i="40"/>
  <c r="Q49" i="40" s="1"/>
  <c r="AA49" i="1" s="1"/>
  <c r="DL49" i="1" s="1"/>
  <c r="A49" i="40"/>
  <c r="N28" i="40"/>
  <c r="O28" i="40" s="1"/>
  <c r="P28" i="40"/>
  <c r="Q28" i="40" s="1"/>
  <c r="AA28" i="1" s="1"/>
  <c r="DL28" i="1" s="1"/>
  <c r="A28" i="40"/>
  <c r="N31" i="40"/>
  <c r="O31" i="40" s="1"/>
  <c r="P31" i="40"/>
  <c r="Q31" i="40" s="1"/>
  <c r="AA31" i="1" s="1"/>
  <c r="DL31" i="1" s="1"/>
  <c r="A31" i="40"/>
  <c r="F82" i="53"/>
  <c r="BA58" i="1"/>
  <c r="R55" i="51" s="1"/>
  <c r="AW25" i="1"/>
  <c r="CR25" i="1" s="1"/>
  <c r="DE25" i="1" s="1"/>
  <c r="AW16" i="1"/>
  <c r="P45" i="40"/>
  <c r="Q45" i="40" s="1"/>
  <c r="AA45" i="1" s="1"/>
  <c r="DL45" i="1" s="1"/>
  <c r="N45" i="40"/>
  <c r="O45" i="40" s="1"/>
  <c r="A45" i="40"/>
  <c r="P80" i="40"/>
  <c r="Q80" i="40" s="1"/>
  <c r="N80" i="40"/>
  <c r="O80" i="40"/>
  <c r="A56" i="40"/>
  <c r="N12" i="40"/>
  <c r="P12" i="40"/>
  <c r="Q12" i="40" s="1"/>
  <c r="AA12" i="1" s="1"/>
  <c r="DL12" i="1" s="1"/>
  <c r="P23" i="40"/>
  <c r="Q23" i="40" s="1"/>
  <c r="AA23" i="1" s="1"/>
  <c r="DL23" i="1" s="1"/>
  <c r="N23" i="40"/>
  <c r="O23" i="40" s="1"/>
  <c r="A69" i="40"/>
  <c r="N69" i="40"/>
  <c r="P69" i="40"/>
  <c r="Q69" i="40" s="1"/>
  <c r="O69" i="40"/>
  <c r="P51" i="40"/>
  <c r="Q51" i="40" s="1"/>
  <c r="AA51" i="1" s="1"/>
  <c r="DL51" i="1" s="1"/>
  <c r="N51" i="40"/>
  <c r="Y51" i="1" s="1"/>
  <c r="A51" i="40"/>
  <c r="N64" i="40"/>
  <c r="O64" i="40"/>
  <c r="P64" i="40"/>
  <c r="Q64" i="40" s="1"/>
  <c r="A64" i="40"/>
  <c r="N13" i="40"/>
  <c r="O13" i="40" s="1"/>
  <c r="P13" i="40"/>
  <c r="Q13" i="40" s="1"/>
  <c r="AA13" i="1" s="1"/>
  <c r="DL13" i="1" s="1"/>
  <c r="A13" i="40"/>
  <c r="P53" i="40"/>
  <c r="Q53" i="40" s="1"/>
  <c r="AA53" i="1" s="1"/>
  <c r="DL53" i="1" s="1"/>
  <c r="N53" i="40"/>
  <c r="O53" i="40" s="1"/>
  <c r="A53" i="40"/>
  <c r="N16" i="40"/>
  <c r="Y16" i="1" s="1"/>
  <c r="A16" i="40"/>
  <c r="P16" i="40"/>
  <c r="Q16" i="40" s="1"/>
  <c r="AA16" i="1" s="1"/>
  <c r="DL16" i="1" s="1"/>
  <c r="N73" i="40"/>
  <c r="O73" i="40"/>
  <c r="P73" i="40"/>
  <c r="Q73" i="40" s="1"/>
  <c r="P25" i="40"/>
  <c r="Q25" i="40" s="1"/>
  <c r="AA25" i="1" s="1"/>
  <c r="DL25" i="1" s="1"/>
  <c r="N25" i="40"/>
  <c r="O25" i="40" s="1"/>
  <c r="A25" i="40"/>
  <c r="A29" i="40"/>
  <c r="P29" i="40"/>
  <c r="Q29" i="40" s="1"/>
  <c r="AA29" i="1" s="1"/>
  <c r="DL29" i="1" s="1"/>
  <c r="N29" i="40"/>
  <c r="O29" i="40" s="1"/>
  <c r="N22" i="40"/>
  <c r="O22" i="40" s="1"/>
  <c r="P22" i="40"/>
  <c r="Q22" i="40" s="1"/>
  <c r="AA22" i="1" s="1"/>
  <c r="DL22" i="1" s="1"/>
  <c r="P57" i="40"/>
  <c r="Q57" i="40" s="1"/>
  <c r="AA57" i="1" s="1"/>
  <c r="DL57" i="1" s="1"/>
  <c r="N57" i="40"/>
  <c r="O57" i="40" s="1"/>
  <c r="A57" i="40"/>
  <c r="O61" i="40"/>
  <c r="P61" i="40"/>
  <c r="Q61" i="40" s="1"/>
  <c r="N61" i="40"/>
  <c r="N42" i="40"/>
  <c r="O42" i="40" s="1"/>
  <c r="P42" i="40"/>
  <c r="Q42" i="40" s="1"/>
  <c r="A42" i="40"/>
  <c r="N56" i="40"/>
  <c r="O56" i="40" s="1"/>
  <c r="P56" i="40"/>
  <c r="Q56" i="40" s="1"/>
  <c r="AA56" i="1" s="1"/>
  <c r="DL56" i="1" s="1"/>
  <c r="N27" i="40"/>
  <c r="O27" i="40" s="1"/>
  <c r="P27" i="40"/>
  <c r="Q27" i="40" s="1"/>
  <c r="AA27" i="1" s="1"/>
  <c r="DL27" i="1" s="1"/>
  <c r="P65" i="40"/>
  <c r="Q65" i="40" s="1"/>
  <c r="N65" i="40"/>
  <c r="O65" i="40"/>
  <c r="F84" i="65"/>
  <c r="F88" i="65"/>
  <c r="F83" i="65"/>
  <c r="F87" i="65"/>
  <c r="F85" i="65"/>
  <c r="F86" i="65"/>
  <c r="P44" i="39"/>
  <c r="Q44" i="39" s="1"/>
  <c r="W44" i="1" s="1"/>
  <c r="DK44" i="1" s="1"/>
  <c r="N44" i="39"/>
  <c r="O44" i="39" s="1"/>
  <c r="A37" i="39"/>
  <c r="P37" i="39"/>
  <c r="Q37" i="39" s="1"/>
  <c r="W37" i="1" s="1"/>
  <c r="DK37" i="1" s="1"/>
  <c r="N37" i="39"/>
  <c r="O37" i="39" s="1"/>
  <c r="N27" i="39"/>
  <c r="O27" i="39" s="1"/>
  <c r="P27" i="39"/>
  <c r="Q27" i="39" s="1"/>
  <c r="P15" i="39"/>
  <c r="Q15" i="39" s="1"/>
  <c r="N15" i="39"/>
  <c r="O15" i="39" s="1"/>
  <c r="A15" i="39"/>
  <c r="A50" i="39"/>
  <c r="N50" i="39"/>
  <c r="O50" i="39" s="1"/>
  <c r="P50" i="39"/>
  <c r="Q50" i="39" s="1"/>
  <c r="W50" i="1" s="1"/>
  <c r="DK50" i="1" s="1"/>
  <c r="N62" i="39"/>
  <c r="P62" i="39"/>
  <c r="Q62" i="39" s="1"/>
  <c r="O62" i="39"/>
  <c r="P79" i="39"/>
  <c r="Q79" i="39" s="1"/>
  <c r="O79" i="39"/>
  <c r="N79" i="39"/>
  <c r="A58" i="39"/>
  <c r="N58" i="39"/>
  <c r="O58" i="39" s="1"/>
  <c r="P58" i="39"/>
  <c r="Q58" i="39" s="1"/>
  <c r="W58" i="1" s="1"/>
  <c r="DK58" i="1" s="1"/>
  <c r="P17" i="39"/>
  <c r="Q17" i="39" s="1"/>
  <c r="W17" i="1" s="1"/>
  <c r="DK17" i="1" s="1"/>
  <c r="N17" i="39"/>
  <c r="U17" i="1" s="1"/>
  <c r="P30" i="39"/>
  <c r="Q30" i="39" s="1"/>
  <c r="W30" i="1" s="1"/>
  <c r="DK30" i="1" s="1"/>
  <c r="N30" i="39"/>
  <c r="O30" i="39" s="1"/>
  <c r="O63" i="39"/>
  <c r="P63" i="39"/>
  <c r="Q63" i="39" s="1"/>
  <c r="N63" i="39"/>
  <c r="O72" i="39"/>
  <c r="P72" i="39"/>
  <c r="Q72" i="39" s="1"/>
  <c r="N72" i="39"/>
  <c r="N47" i="39"/>
  <c r="O47" i="39" s="1"/>
  <c r="P47" i="39"/>
  <c r="Q47" i="39" s="1"/>
  <c r="P54" i="39"/>
  <c r="Q54" i="39" s="1"/>
  <c r="W54" i="1" s="1"/>
  <c r="DK54" i="1" s="1"/>
  <c r="N54" i="39"/>
  <c r="O54" i="39" s="1"/>
  <c r="N14" i="39"/>
  <c r="O14" i="39" s="1"/>
  <c r="P14" i="39"/>
  <c r="Q14" i="39" s="1"/>
  <c r="N56" i="42"/>
  <c r="P56" i="42"/>
  <c r="Q56" i="42" s="1"/>
  <c r="O56" i="42"/>
  <c r="P72" i="42"/>
  <c r="Q72" i="42" s="1"/>
  <c r="N72" i="42"/>
  <c r="O72" i="42"/>
  <c r="O38" i="42"/>
  <c r="N38" i="42"/>
  <c r="P38" i="42"/>
  <c r="Q38" i="42" s="1"/>
  <c r="O17" i="42"/>
  <c r="N17" i="42"/>
  <c r="P17" i="42"/>
  <c r="Q17" i="42" s="1"/>
  <c r="N60" i="42"/>
  <c r="P60" i="42"/>
  <c r="Q60" i="42" s="1"/>
  <c r="O60" i="42"/>
  <c r="N77" i="42"/>
  <c r="O77" i="42"/>
  <c r="P77" i="42"/>
  <c r="Q77" i="42" s="1"/>
  <c r="O78" i="42"/>
  <c r="N78" i="42"/>
  <c r="P78" i="42"/>
  <c r="Q78" i="42" s="1"/>
  <c r="P11" i="42"/>
  <c r="Q11" i="42" s="1"/>
  <c r="K83" i="42"/>
  <c r="K86" i="42"/>
  <c r="N11" i="42"/>
  <c r="H87" i="42"/>
  <c r="H88" i="42"/>
  <c r="H83" i="42"/>
  <c r="H86" i="42"/>
  <c r="H85" i="42"/>
  <c r="H84" i="42"/>
  <c r="O11" i="42"/>
  <c r="N50" i="42"/>
  <c r="O50" i="42"/>
  <c r="P50" i="42"/>
  <c r="Q50" i="42" s="1"/>
  <c r="O13" i="42"/>
  <c r="N13" i="42"/>
  <c r="P13" i="42"/>
  <c r="Q13" i="42" s="1"/>
  <c r="P21" i="42"/>
  <c r="Q21" i="42" s="1"/>
  <c r="N21" i="42"/>
  <c r="O21" i="42"/>
  <c r="O51" i="42"/>
  <c r="N51" i="42"/>
  <c r="P51" i="42"/>
  <c r="Q51" i="42" s="1"/>
  <c r="N46" i="42"/>
  <c r="O46" i="42"/>
  <c r="P46" i="42"/>
  <c r="Q46" i="42" s="1"/>
  <c r="O26" i="42"/>
  <c r="N26" i="42"/>
  <c r="O62" i="42"/>
  <c r="N62" i="42"/>
  <c r="P62" i="42"/>
  <c r="Q62" i="42" s="1"/>
  <c r="O16" i="42"/>
  <c r="N16" i="42"/>
  <c r="P16" i="42"/>
  <c r="Q16" i="42" s="1"/>
  <c r="O33" i="42"/>
  <c r="N33" i="42"/>
  <c r="P33" i="42"/>
  <c r="Q33" i="42" s="1"/>
  <c r="O32" i="42"/>
  <c r="N32" i="42"/>
  <c r="P32" i="42"/>
  <c r="Q32" i="42" s="1"/>
  <c r="CL7" i="1"/>
  <c r="DX7" i="1"/>
  <c r="EK7" i="1"/>
  <c r="CY7" i="1"/>
  <c r="N47" i="38"/>
  <c r="A47" i="38"/>
  <c r="P47" i="38"/>
  <c r="Q47" i="38" s="1"/>
  <c r="S47" i="1" s="1"/>
  <c r="DJ47" i="1" s="1"/>
  <c r="N37" i="38"/>
  <c r="O37" i="38" s="1"/>
  <c r="P37" i="38"/>
  <c r="Q37" i="38" s="1"/>
  <c r="S37" i="1" s="1"/>
  <c r="DJ37" i="1" s="1"/>
  <c r="N40" i="38"/>
  <c r="O40" i="38" s="1"/>
  <c r="P40" i="38"/>
  <c r="Q40" i="38" s="1"/>
  <c r="N53" i="38"/>
  <c r="O53" i="38" s="1"/>
  <c r="P53" i="38"/>
  <c r="Q53" i="38" s="1"/>
  <c r="S53" i="1" s="1"/>
  <c r="DJ53" i="1" s="1"/>
  <c r="N57" i="38"/>
  <c r="O57" i="38" s="1"/>
  <c r="A57" i="38"/>
  <c r="P57" i="38"/>
  <c r="Q57" i="38" s="1"/>
  <c r="S57" i="1" s="1"/>
  <c r="DJ57" i="1" s="1"/>
  <c r="N58" i="38"/>
  <c r="O58" i="38" s="1"/>
  <c r="P58" i="38"/>
  <c r="Q58" i="38" s="1"/>
  <c r="S58" i="1" s="1"/>
  <c r="DJ58" i="1" s="1"/>
  <c r="O62" i="38"/>
  <c r="N62" i="38"/>
  <c r="P62" i="38"/>
  <c r="Q62" i="38" s="1"/>
  <c r="N39" i="38"/>
  <c r="O39" i="38" s="1"/>
  <c r="P39" i="38"/>
  <c r="Q39" i="38" s="1"/>
  <c r="N14" i="38"/>
  <c r="O14" i="38" s="1"/>
  <c r="P14" i="38"/>
  <c r="Q14" i="38" s="1"/>
  <c r="A14" i="38"/>
  <c r="A72" i="38"/>
  <c r="O72" i="38"/>
  <c r="N72" i="38"/>
  <c r="P72" i="38"/>
  <c r="Q72" i="38" s="1"/>
  <c r="N66" i="38"/>
  <c r="O66" i="38"/>
  <c r="P66" i="38"/>
  <c r="Q66" i="38" s="1"/>
  <c r="A64" i="38"/>
  <c r="O64" i="38"/>
  <c r="N64" i="38"/>
  <c r="P64" i="38"/>
  <c r="Q64" i="38" s="1"/>
  <c r="N33" i="38"/>
  <c r="O33" i="38" s="1"/>
  <c r="P33" i="38"/>
  <c r="Q33" i="38" s="1"/>
  <c r="S33" i="1" s="1"/>
  <c r="DJ33" i="1" s="1"/>
  <c r="N13" i="38"/>
  <c r="O13" i="38" s="1"/>
  <c r="A13" i="38"/>
  <c r="P13" i="38"/>
  <c r="Q13" i="38" s="1"/>
  <c r="S13" i="1" s="1"/>
  <c r="DJ13" i="1" s="1"/>
  <c r="N80" i="38"/>
  <c r="O80" i="38"/>
  <c r="P80" i="38"/>
  <c r="Q80" i="38" s="1"/>
  <c r="EA7" i="1"/>
  <c r="EN7" i="1"/>
  <c r="CO7" i="1"/>
  <c r="DB7" i="1"/>
  <c r="A55" i="55"/>
  <c r="O55" i="55"/>
  <c r="AW55" i="1" s="1"/>
  <c r="A14" i="55"/>
  <c r="O14" i="55"/>
  <c r="AW14" i="1" s="1"/>
  <c r="P62" i="55"/>
  <c r="O62" i="55"/>
  <c r="O12" i="55"/>
  <c r="P12" i="55" s="1"/>
  <c r="O21" i="55"/>
  <c r="P21" i="55" s="1"/>
  <c r="A21" i="55"/>
  <c r="P66" i="55"/>
  <c r="O66" i="55"/>
  <c r="O63" i="55"/>
  <c r="P63" i="55"/>
  <c r="O75" i="55"/>
  <c r="P75" i="55"/>
  <c r="CM7" i="1"/>
  <c r="DY7" i="1"/>
  <c r="EL7" i="1"/>
  <c r="CZ7" i="1"/>
  <c r="N73" i="41"/>
  <c r="O73" i="41"/>
  <c r="P73" i="41"/>
  <c r="Q73" i="41" s="1"/>
  <c r="O49" i="41"/>
  <c r="P49" i="41"/>
  <c r="Q49" i="41" s="1"/>
  <c r="N49" i="41"/>
  <c r="N18" i="41"/>
  <c r="O18" i="41"/>
  <c r="P18" i="41"/>
  <c r="Q18" i="41" s="1"/>
  <c r="P20" i="41"/>
  <c r="Q20" i="41" s="1"/>
  <c r="O20" i="41"/>
  <c r="N20" i="41"/>
  <c r="N45" i="41"/>
  <c r="P45" i="41"/>
  <c r="Q45" i="41" s="1"/>
  <c r="O45" i="41"/>
  <c r="N11" i="41"/>
  <c r="O11" i="41"/>
  <c r="P11" i="41"/>
  <c r="Q11" i="41" s="1"/>
  <c r="K86" i="41"/>
  <c r="K83" i="41"/>
  <c r="N76" i="41"/>
  <c r="P76" i="41"/>
  <c r="Q76" i="41" s="1"/>
  <c r="O76" i="41"/>
  <c r="O43" i="41"/>
  <c r="N43" i="41"/>
  <c r="P43" i="41"/>
  <c r="Q43" i="41" s="1"/>
  <c r="P27" i="41"/>
  <c r="Q27" i="41" s="1"/>
  <c r="O27" i="41"/>
  <c r="N27" i="41"/>
  <c r="P25" i="41"/>
  <c r="Q25" i="41" s="1"/>
  <c r="N25" i="41"/>
  <c r="O25" i="41"/>
  <c r="P46" i="41"/>
  <c r="Q46" i="41" s="1"/>
  <c r="O46" i="41"/>
  <c r="N46" i="41"/>
  <c r="N79" i="41"/>
  <c r="O79" i="41"/>
  <c r="P79" i="41"/>
  <c r="Q79" i="41" s="1"/>
  <c r="O77" i="41"/>
  <c r="N77" i="41"/>
  <c r="P77" i="41"/>
  <c r="Q77" i="41" s="1"/>
  <c r="AE42" i="1"/>
  <c r="DM42" i="1" s="1"/>
  <c r="AE12" i="1"/>
  <c r="DM12" i="1" s="1"/>
  <c r="AE63" i="1"/>
  <c r="DM63" i="1" s="1"/>
  <c r="AB77" i="1"/>
  <c r="AB34" i="1"/>
  <c r="BZ34" i="1" s="1"/>
  <c r="AE19" i="1"/>
  <c r="DM19" i="1" s="1"/>
  <c r="AB59" i="1"/>
  <c r="DM1" i="1"/>
  <c r="AC35" i="1"/>
  <c r="AB79" i="1"/>
  <c r="AB31" i="1"/>
  <c r="AB62" i="1"/>
  <c r="CZ1" i="1"/>
  <c r="AC24" i="1"/>
  <c r="AC31" i="1"/>
  <c r="AC77" i="1"/>
  <c r="AB46" i="1"/>
  <c r="AC46" i="1"/>
  <c r="AC26" i="1"/>
  <c r="AE76" i="1"/>
  <c r="DM76" i="1" s="1"/>
  <c r="AB18" i="1"/>
  <c r="AB80" i="1"/>
  <c r="BZ80" i="1" s="1"/>
  <c r="AB20" i="1"/>
  <c r="BZ20" i="1" s="1"/>
  <c r="AE70" i="1"/>
  <c r="DM70" i="1" s="1"/>
  <c r="AE18" i="1"/>
  <c r="DM18" i="1" s="1"/>
  <c r="AC19" i="1"/>
  <c r="AE53" i="1"/>
  <c r="DM53" i="1" s="1"/>
  <c r="AB70" i="1"/>
  <c r="AE13" i="1"/>
  <c r="DM13" i="1" s="1"/>
  <c r="AB45" i="1"/>
  <c r="AB49" i="1"/>
  <c r="AC37" i="1"/>
  <c r="AE47" i="1"/>
  <c r="DM47" i="1" s="1"/>
  <c r="AB19" i="1"/>
  <c r="BZ19" i="1" s="1"/>
  <c r="AC38" i="1"/>
  <c r="AB78" i="1"/>
  <c r="BZ78" i="1" s="1"/>
  <c r="AB69" i="1"/>
  <c r="AC72" i="1"/>
  <c r="AC55" i="1"/>
  <c r="AC18" i="1"/>
  <c r="AE39" i="1"/>
  <c r="DM39" i="1" s="1"/>
  <c r="AC62" i="1"/>
  <c r="AB28" i="1"/>
  <c r="AB33" i="1"/>
  <c r="AE67" i="1"/>
  <c r="DM67" i="1" s="1"/>
  <c r="AE15" i="1"/>
  <c r="DM15" i="1" s="1"/>
  <c r="AC23" i="1"/>
  <c r="AB29" i="1"/>
  <c r="BZ29" i="1" s="1"/>
  <c r="AB32" i="1"/>
  <c r="BZ32" i="1" s="1"/>
  <c r="AB66" i="1"/>
  <c r="AE73" i="1"/>
  <c r="DM73" i="1" s="1"/>
  <c r="AC59" i="1"/>
  <c r="AE33" i="1"/>
  <c r="DM33" i="1" s="1"/>
  <c r="AC68" i="1"/>
  <c r="AB71" i="1"/>
  <c r="AB63" i="1"/>
  <c r="AE34" i="1"/>
  <c r="DM34" i="1" s="1"/>
  <c r="AC16" i="1"/>
  <c r="AB67" i="1"/>
  <c r="AC12" i="1"/>
  <c r="AC44" i="1"/>
  <c r="AE69" i="1"/>
  <c r="DM69" i="1" s="1"/>
  <c r="AB73" i="1"/>
  <c r="AE29" i="1"/>
  <c r="DM29" i="1" s="1"/>
  <c r="AB68" i="1"/>
  <c r="DY1" i="1"/>
  <c r="AC70" i="1"/>
  <c r="AE25" i="1"/>
  <c r="DM25" i="1" s="1"/>
  <c r="AB64" i="1"/>
  <c r="AC17" i="1"/>
  <c r="AB56" i="1"/>
  <c r="AE64" i="1"/>
  <c r="DM64" i="1" s="1"/>
  <c r="AC11" i="1"/>
  <c r="AE30" i="1"/>
  <c r="DM30" i="1" s="1"/>
  <c r="AE54" i="1"/>
  <c r="DM54" i="1" s="1"/>
  <c r="AB16" i="1"/>
  <c r="AC75" i="1"/>
  <c r="AE21" i="1"/>
  <c r="DM21" i="1" s="1"/>
  <c r="AE52" i="1"/>
  <c r="DM52" i="1" s="1"/>
  <c r="AE14" i="1"/>
  <c r="DM14" i="1" s="1"/>
  <c r="AC65" i="1"/>
  <c r="AE23" i="1"/>
  <c r="DM23" i="1" s="1"/>
  <c r="AE59" i="1"/>
  <c r="DM59" i="1" s="1"/>
  <c r="AC74" i="1"/>
  <c r="AC30" i="1"/>
  <c r="AB47" i="1"/>
  <c r="AE78" i="1"/>
  <c r="DM78" i="1" s="1"/>
  <c r="AC51" i="1"/>
  <c r="AC43" i="1"/>
  <c r="AE74" i="1"/>
  <c r="DM74" i="1" s="1"/>
  <c r="AC45" i="1"/>
  <c r="AE45" i="1"/>
  <c r="DM45" i="1" s="1"/>
  <c r="AE20" i="1"/>
  <c r="DM20" i="1" s="1"/>
  <c r="AC39" i="1"/>
  <c r="AB51" i="1"/>
  <c r="AC69" i="1"/>
  <c r="AC66" i="1"/>
  <c r="AB61" i="1"/>
  <c r="AC34" i="1"/>
  <c r="AB30" i="1"/>
  <c r="AC40" i="1"/>
  <c r="AE22" i="1"/>
  <c r="DM22" i="1" s="1"/>
  <c r="AE79" i="1"/>
  <c r="DM79" i="1" s="1"/>
  <c r="AB17" i="1"/>
  <c r="AC54" i="1"/>
  <c r="AE56" i="1"/>
  <c r="DM56" i="1" s="1"/>
  <c r="AB24" i="1"/>
  <c r="AB54" i="1"/>
  <c r="AC56" i="1"/>
  <c r="AB21" i="1"/>
  <c r="BZ21" i="1" s="1"/>
  <c r="AB14" i="1"/>
  <c r="BZ14" i="1" s="1"/>
  <c r="AB12" i="1"/>
  <c r="BZ12" i="1" s="1"/>
  <c r="AE38" i="1"/>
  <c r="DM38" i="1" s="1"/>
  <c r="AB35" i="1"/>
  <c r="AE61" i="1"/>
  <c r="DM61" i="1" s="1"/>
  <c r="AC47" i="1"/>
  <c r="AE35" i="1"/>
  <c r="DM35" i="1" s="1"/>
  <c r="AC48" i="1"/>
  <c r="AC60" i="1"/>
  <c r="AB36" i="1"/>
  <c r="AB13" i="1"/>
  <c r="AB52" i="1"/>
  <c r="AE65" i="1"/>
  <c r="DM65" i="1" s="1"/>
  <c r="AC79" i="1"/>
  <c r="AE41" i="1"/>
  <c r="DM41" i="1" s="1"/>
  <c r="AE11" i="1"/>
  <c r="DM11" i="1" s="1"/>
  <c r="AE68" i="1"/>
  <c r="DM68" i="1" s="1"/>
  <c r="AC64" i="1"/>
  <c r="AC41" i="1"/>
  <c r="AC36" i="1"/>
  <c r="AE71" i="1"/>
  <c r="DM71" i="1" s="1"/>
  <c r="AE43" i="1"/>
  <c r="DM43" i="1" s="1"/>
  <c r="AE72" i="1"/>
  <c r="DM72" i="1" s="1"/>
  <c r="AB25" i="1"/>
  <c r="AB15" i="1"/>
  <c r="AC27" i="1"/>
  <c r="AC49" i="1"/>
  <c r="AE44" i="1"/>
  <c r="DM44" i="1" s="1"/>
  <c r="AC33" i="1"/>
  <c r="AE31" i="1"/>
  <c r="DM31" i="1" s="1"/>
  <c r="AE28" i="1"/>
  <c r="DM28" i="1" s="1"/>
  <c r="AB58" i="1"/>
  <c r="AC13" i="1"/>
  <c r="AB41" i="1"/>
  <c r="AE36" i="1"/>
  <c r="DM36" i="1" s="1"/>
  <c r="AC53" i="1"/>
  <c r="AE17" i="1"/>
  <c r="DM17" i="1" s="1"/>
  <c r="AB42" i="1"/>
  <c r="BZ42" i="1" s="1"/>
  <c r="AC50" i="1"/>
  <c r="AB39" i="1"/>
  <c r="AB40" i="1"/>
  <c r="AE77" i="1"/>
  <c r="DM77" i="1" s="1"/>
  <c r="AB38" i="1"/>
  <c r="AB22" i="1"/>
  <c r="AB72" i="1"/>
  <c r="AC21" i="1"/>
  <c r="AE49" i="1"/>
  <c r="DM49" i="1" s="1"/>
  <c r="AC15" i="1"/>
  <c r="AC20" i="1"/>
  <c r="AC42" i="1"/>
  <c r="AE26" i="1"/>
  <c r="DM26" i="1" s="1"/>
  <c r="AB43" i="1"/>
  <c r="AB60" i="1"/>
  <c r="AB11" i="1"/>
  <c r="AC78" i="1"/>
  <c r="CM1" i="1"/>
  <c r="AE27" i="1"/>
  <c r="DM27" i="1" s="1"/>
  <c r="BZ1" i="1"/>
  <c r="AE57" i="1"/>
  <c r="DM57" i="1" s="1"/>
  <c r="AC73" i="1"/>
  <c r="AB76" i="1"/>
  <c r="AE51" i="1"/>
  <c r="DM51" i="1" s="1"/>
  <c r="AC29" i="1"/>
  <c r="AC28" i="1"/>
  <c r="AB50" i="1"/>
  <c r="AC58" i="1"/>
  <c r="AE75" i="1"/>
  <c r="DM75" i="1" s="1"/>
  <c r="AB75" i="1"/>
  <c r="AC61" i="1"/>
  <c r="AC14" i="1"/>
  <c r="AB74" i="1"/>
  <c r="AE46" i="1"/>
  <c r="DM46" i="1" s="1"/>
  <c r="AE62" i="1"/>
  <c r="DM62" i="1" s="1"/>
  <c r="AE48" i="1"/>
  <c r="DM48" i="1" s="1"/>
  <c r="AB53" i="1"/>
  <c r="AE24" i="1"/>
  <c r="DM24" i="1" s="1"/>
  <c r="AE58" i="1"/>
  <c r="DM58" i="1" s="1"/>
  <c r="AC32" i="1"/>
  <c r="AC71" i="1"/>
  <c r="AB55" i="1"/>
  <c r="EL1" i="1"/>
  <c r="AB48" i="1"/>
  <c r="AC52" i="1"/>
  <c r="AB27" i="1"/>
  <c r="AB57" i="1"/>
  <c r="AC80" i="1"/>
  <c r="AE16" i="1"/>
  <c r="DM16" i="1" s="1"/>
  <c r="AC76" i="1"/>
  <c r="AC57" i="1"/>
  <c r="AB37" i="1"/>
  <c r="AC63" i="1"/>
  <c r="AE50" i="1"/>
  <c r="DM50" i="1" s="1"/>
  <c r="AB23" i="1"/>
  <c r="AE37" i="1"/>
  <c r="DM37" i="1" s="1"/>
  <c r="AB44" i="1"/>
  <c r="AE60" i="1"/>
  <c r="DM60" i="1" s="1"/>
  <c r="AC22" i="1"/>
  <c r="AE80" i="1"/>
  <c r="DM80" i="1" s="1"/>
  <c r="AE55" i="1"/>
  <c r="DM55" i="1" s="1"/>
  <c r="AE40" i="1"/>
  <c r="DM40" i="1" s="1"/>
  <c r="AE66" i="1"/>
  <c r="DM66" i="1" s="1"/>
  <c r="AB65" i="1"/>
  <c r="AC25" i="1"/>
  <c r="AE32" i="1"/>
  <c r="DM32" i="1" s="1"/>
  <c r="AC67" i="1"/>
  <c r="AB26" i="1"/>
  <c r="O70" i="41"/>
  <c r="N70" i="41"/>
  <c r="P70" i="41"/>
  <c r="Q70" i="41" s="1"/>
  <c r="P52" i="41"/>
  <c r="Q52" i="41" s="1"/>
  <c r="O52" i="41"/>
  <c r="N52" i="41"/>
  <c r="O65" i="41"/>
  <c r="N65" i="41"/>
  <c r="P65" i="41"/>
  <c r="Q65" i="41"/>
  <c r="O13" i="41"/>
  <c r="N13" i="41"/>
  <c r="P13" i="41"/>
  <c r="Q13" i="41" s="1"/>
  <c r="N36" i="41"/>
  <c r="O36" i="41"/>
  <c r="P36" i="41"/>
  <c r="Q36" i="41" s="1"/>
  <c r="DZ7" i="1"/>
  <c r="EM7" i="1"/>
  <c r="DA7" i="1"/>
  <c r="CN7" i="1"/>
  <c r="N18" i="40"/>
  <c r="A18" i="40"/>
  <c r="P18" i="40"/>
  <c r="Q18" i="40" s="1"/>
  <c r="AA18" i="1" s="1"/>
  <c r="DL18" i="1" s="1"/>
  <c r="P77" i="40"/>
  <c r="Q77" i="40" s="1"/>
  <c r="N77" i="40"/>
  <c r="O77" i="40"/>
  <c r="N52" i="40"/>
  <c r="O52" i="40" s="1"/>
  <c r="P52" i="40"/>
  <c r="Q52" i="40" s="1"/>
  <c r="AA52" i="1" s="1"/>
  <c r="DL52" i="1" s="1"/>
  <c r="A52" i="40"/>
  <c r="N46" i="40"/>
  <c r="O46" i="40" s="1"/>
  <c r="P46" i="40"/>
  <c r="Q46" i="40" s="1"/>
  <c r="AA46" i="1" s="1"/>
  <c r="DL46" i="1" s="1"/>
  <c r="A46" i="40"/>
  <c r="P74" i="40"/>
  <c r="Q74" i="40" s="1"/>
  <c r="N74" i="40"/>
  <c r="O74" i="40"/>
  <c r="A74" i="40"/>
  <c r="N38" i="40"/>
  <c r="O38" i="40" s="1"/>
  <c r="P38" i="40"/>
  <c r="Q38" i="40" s="1"/>
  <c r="AA38" i="1" s="1"/>
  <c r="DL38" i="1" s="1"/>
  <c r="P40" i="40"/>
  <c r="Q40" i="40" s="1"/>
  <c r="AA40" i="1" s="1"/>
  <c r="DL40" i="1" s="1"/>
  <c r="A40" i="40"/>
  <c r="N40" i="40"/>
  <c r="O40" i="40" s="1"/>
  <c r="A47" i="40"/>
  <c r="N47" i="40"/>
  <c r="O47" i="40" s="1"/>
  <c r="P47" i="40"/>
  <c r="Q47" i="40" s="1"/>
  <c r="P41" i="40"/>
  <c r="Q41" i="40" s="1"/>
  <c r="AA41" i="1" s="1"/>
  <c r="DL41" i="1" s="1"/>
  <c r="A41" i="40"/>
  <c r="N41" i="40"/>
  <c r="O41" i="40" s="1"/>
  <c r="P55" i="40"/>
  <c r="N55" i="40"/>
  <c r="O55" i="40" s="1"/>
  <c r="Q55" i="40"/>
  <c r="AA55" i="1" s="1"/>
  <c r="DL55" i="1" s="1"/>
  <c r="P58" i="40"/>
  <c r="Q58" i="40" s="1"/>
  <c r="AA58" i="1" s="1"/>
  <c r="DL58" i="1" s="1"/>
  <c r="N58" i="40"/>
  <c r="O58" i="40" s="1"/>
  <c r="A58" i="40"/>
  <c r="P36" i="40"/>
  <c r="Q36" i="40" s="1"/>
  <c r="AA36" i="1" s="1"/>
  <c r="DL36" i="1" s="1"/>
  <c r="N36" i="40"/>
  <c r="O36" i="40" s="1"/>
  <c r="P33" i="40"/>
  <c r="Q33" i="40" s="1"/>
  <c r="AA33" i="1" s="1"/>
  <c r="DL33" i="1" s="1"/>
  <c r="N33" i="40"/>
  <c r="O33" i="40" s="1"/>
  <c r="A33" i="40"/>
  <c r="P54" i="40"/>
  <c r="Q54" i="40" s="1"/>
  <c r="AA54" i="1" s="1"/>
  <c r="DL54" i="1" s="1"/>
  <c r="N54" i="40"/>
  <c r="O54" i="40" s="1"/>
  <c r="N62" i="40"/>
  <c r="P62" i="40"/>
  <c r="Q62" i="40" s="1"/>
  <c r="O62" i="40"/>
  <c r="DX1" i="1"/>
  <c r="DL1" i="1"/>
  <c r="CL1" i="1"/>
  <c r="CY1" i="1"/>
  <c r="EK1" i="1"/>
  <c r="BY1" i="1"/>
  <c r="AA30" i="1"/>
  <c r="DL30" i="1" s="1"/>
  <c r="X38" i="1"/>
  <c r="X41" i="1"/>
  <c r="AA43" i="1"/>
  <c r="DL43" i="1" s="1"/>
  <c r="X47" i="1"/>
  <c r="X51" i="1"/>
  <c r="X32" i="1"/>
  <c r="X28" i="1"/>
  <c r="BY28" i="1" s="1"/>
  <c r="Y67" i="1"/>
  <c r="Y55" i="1"/>
  <c r="X16" i="1"/>
  <c r="X77" i="1"/>
  <c r="X27" i="1"/>
  <c r="Y66" i="1"/>
  <c r="X68" i="1"/>
  <c r="X76" i="1"/>
  <c r="Y36" i="1"/>
  <c r="AA63" i="1"/>
  <c r="DL63" i="1" s="1"/>
  <c r="X64" i="1"/>
  <c r="Y22" i="1"/>
  <c r="X33" i="1"/>
  <c r="X25" i="1"/>
  <c r="X61" i="1"/>
  <c r="X80" i="1"/>
  <c r="X43" i="1"/>
  <c r="X55" i="1"/>
  <c r="X73" i="1"/>
  <c r="Y68" i="1"/>
  <c r="X11" i="1"/>
  <c r="X54" i="1"/>
  <c r="Y72" i="1"/>
  <c r="Y58" i="1"/>
  <c r="X75" i="1"/>
  <c r="Y13" i="1"/>
  <c r="AA78" i="1"/>
  <c r="DL78" i="1" s="1"/>
  <c r="Y71" i="1"/>
  <c r="Y42" i="1"/>
  <c r="X48" i="1"/>
  <c r="Y43" i="1"/>
  <c r="AA76" i="1"/>
  <c r="DL76" i="1" s="1"/>
  <c r="Y64" i="1"/>
  <c r="X70" i="1"/>
  <c r="Y49" i="1"/>
  <c r="X21" i="1"/>
  <c r="BY21" i="1" s="1"/>
  <c r="Y63" i="1"/>
  <c r="X56" i="1"/>
  <c r="Y74" i="1"/>
  <c r="X17" i="1"/>
  <c r="Y69" i="1"/>
  <c r="X26" i="1"/>
  <c r="X65" i="1"/>
  <c r="X39" i="1"/>
  <c r="AA79" i="1"/>
  <c r="DL79" i="1" s="1"/>
  <c r="Y32" i="1"/>
  <c r="X18" i="1"/>
  <c r="AA71" i="1"/>
  <c r="DL71" i="1" s="1"/>
  <c r="Y26" i="1"/>
  <c r="AA73" i="1"/>
  <c r="DL73" i="1" s="1"/>
  <c r="X19" i="1"/>
  <c r="X79" i="1"/>
  <c r="X46" i="1"/>
  <c r="Y30" i="1"/>
  <c r="Y59" i="1"/>
  <c r="Y20" i="1"/>
  <c r="AA47" i="1"/>
  <c r="DL47" i="1" s="1"/>
  <c r="AA77" i="1"/>
  <c r="DL77" i="1" s="1"/>
  <c r="Y40" i="1"/>
  <c r="AA65" i="1"/>
  <c r="DL65" i="1" s="1"/>
  <c r="Y56" i="1"/>
  <c r="X67" i="1"/>
  <c r="Y79" i="1"/>
  <c r="AA67" i="1"/>
  <c r="DL67" i="1" s="1"/>
  <c r="Y61" i="1"/>
  <c r="X50" i="1"/>
  <c r="X66" i="1"/>
  <c r="Y80" i="1"/>
  <c r="AA59" i="1"/>
  <c r="DL59" i="1" s="1"/>
  <c r="X49" i="1"/>
  <c r="X12" i="1"/>
  <c r="BY12" i="1" s="1"/>
  <c r="AA62" i="1"/>
  <c r="DL62" i="1" s="1"/>
  <c r="X31" i="1"/>
  <c r="Y23" i="1"/>
  <c r="AA32" i="1"/>
  <c r="DL32" i="1" s="1"/>
  <c r="Y76" i="1"/>
  <c r="X15" i="1"/>
  <c r="X78" i="1"/>
  <c r="Y77" i="1"/>
  <c r="AA48" i="1"/>
  <c r="DL48" i="1" s="1"/>
  <c r="Y65" i="1"/>
  <c r="X14" i="1"/>
  <c r="AA42" i="1"/>
  <c r="DL42" i="1" s="1"/>
  <c r="X74" i="1"/>
  <c r="X63" i="1"/>
  <c r="X40" i="1"/>
  <c r="Y78" i="1"/>
  <c r="Y73" i="1"/>
  <c r="Y54" i="1"/>
  <c r="AA66" i="1"/>
  <c r="DL66" i="1" s="1"/>
  <c r="X30" i="1"/>
  <c r="AA50" i="1"/>
  <c r="DL50" i="1" s="1"/>
  <c r="X13" i="1"/>
  <c r="AA69" i="1"/>
  <c r="DL69" i="1" s="1"/>
  <c r="X36" i="1"/>
  <c r="X44" i="1"/>
  <c r="Y27" i="1"/>
  <c r="X35" i="1"/>
  <c r="AA64" i="1"/>
  <c r="DL64" i="1" s="1"/>
  <c r="AA74" i="1"/>
  <c r="DL74" i="1" s="1"/>
  <c r="Y34" i="1"/>
  <c r="X24" i="1"/>
  <c r="Y75" i="1"/>
  <c r="X52" i="1"/>
  <c r="X23" i="1"/>
  <c r="X53" i="1"/>
  <c r="Y62" i="1"/>
  <c r="X34" i="1"/>
  <c r="AA72" i="1"/>
  <c r="DL72" i="1" s="1"/>
  <c r="X20" i="1"/>
  <c r="X29" i="1"/>
  <c r="BY29" i="1" s="1"/>
  <c r="X60" i="1"/>
  <c r="AA70" i="1"/>
  <c r="DL70" i="1" s="1"/>
  <c r="X57" i="1"/>
  <c r="Y14" i="1"/>
  <c r="X22" i="1"/>
  <c r="X71" i="1"/>
  <c r="Y70" i="1"/>
  <c r="Y24" i="1"/>
  <c r="X69" i="1"/>
  <c r="X59" i="1"/>
  <c r="AA61" i="1"/>
  <c r="DL61" i="1" s="1"/>
  <c r="Y46" i="1"/>
  <c r="X62" i="1"/>
  <c r="X58" i="1"/>
  <c r="X37" i="1"/>
  <c r="X42" i="1"/>
  <c r="X72" i="1"/>
  <c r="AA14" i="1"/>
  <c r="DL14" i="1" s="1"/>
  <c r="AA80" i="1"/>
  <c r="DL80" i="1" s="1"/>
  <c r="AA75" i="1"/>
  <c r="DL75" i="1" s="1"/>
  <c r="AA68" i="1"/>
  <c r="DL68" i="1" s="1"/>
  <c r="X45" i="1"/>
  <c r="BY45" i="1" s="1"/>
  <c r="Y41" i="1"/>
  <c r="P11" i="40"/>
  <c r="Q11" i="40" s="1"/>
  <c r="AA11" i="1" s="1"/>
  <c r="DL11" i="1" s="1"/>
  <c r="N11" i="40"/>
  <c r="O67" i="40"/>
  <c r="N67" i="40"/>
  <c r="P67" i="40"/>
  <c r="Q67" i="40" s="1"/>
  <c r="N44" i="40"/>
  <c r="O44" i="40" s="1"/>
  <c r="P44" i="40"/>
  <c r="Q44" i="40" s="1"/>
  <c r="AA44" i="1" s="1"/>
  <c r="DL44" i="1" s="1"/>
  <c r="K86" i="65"/>
  <c r="K83" i="65"/>
  <c r="A20" i="39"/>
  <c r="P20" i="39"/>
  <c r="Q20" i="39" s="1"/>
  <c r="W20" i="1" s="1"/>
  <c r="DK20" i="1" s="1"/>
  <c r="N20" i="39"/>
  <c r="O20" i="39" s="1"/>
  <c r="A60" i="39"/>
  <c r="N60" i="39"/>
  <c r="O60" i="39" s="1"/>
  <c r="P60" i="39"/>
  <c r="Q60" i="39" s="1"/>
  <c r="W60" i="1" s="1"/>
  <c r="DK60" i="1" s="1"/>
  <c r="A70" i="39"/>
  <c r="O70" i="39"/>
  <c r="P70" i="39"/>
  <c r="Q70" i="39" s="1"/>
  <c r="N70" i="39"/>
  <c r="P73" i="39"/>
  <c r="Q73" i="39" s="1"/>
  <c r="O73" i="39"/>
  <c r="N73" i="39"/>
  <c r="P43" i="39"/>
  <c r="Q43" i="39" s="1"/>
  <c r="W43" i="1" s="1"/>
  <c r="DK43" i="1" s="1"/>
  <c r="A43" i="39"/>
  <c r="N43" i="39"/>
  <c r="A56" i="39"/>
  <c r="P56" i="39"/>
  <c r="Q56" i="39" s="1"/>
  <c r="W56" i="1" s="1"/>
  <c r="DK56" i="1" s="1"/>
  <c r="N56" i="39"/>
  <c r="N35" i="39"/>
  <c r="O35" i="39" s="1"/>
  <c r="P35" i="39"/>
  <c r="Q35" i="39" s="1"/>
  <c r="W35" i="1" s="1"/>
  <c r="DK35" i="1" s="1"/>
  <c r="A35" i="39"/>
  <c r="P45" i="39"/>
  <c r="Q45" i="39" s="1"/>
  <c r="N45" i="39"/>
  <c r="O45" i="39" s="1"/>
  <c r="A29" i="39"/>
  <c r="P29" i="39"/>
  <c r="Q29" i="39" s="1"/>
  <c r="W29" i="1" s="1"/>
  <c r="DK29" i="1" s="1"/>
  <c r="N29" i="39"/>
  <c r="O29" i="39" s="1"/>
  <c r="N31" i="39"/>
  <c r="O31" i="39" s="1"/>
  <c r="P31" i="39"/>
  <c r="Q31" i="39" s="1"/>
  <c r="W31" i="1" s="1"/>
  <c r="DK31" i="1" s="1"/>
  <c r="A31" i="39"/>
  <c r="P26" i="39"/>
  <c r="Q26" i="39" s="1"/>
  <c r="W26" i="1" s="1"/>
  <c r="DK26" i="1" s="1"/>
  <c r="N26" i="39"/>
  <c r="O26" i="39" s="1"/>
  <c r="A26" i="39"/>
  <c r="P65" i="39"/>
  <c r="Q65" i="39" s="1"/>
  <c r="O65" i="39"/>
  <c r="N65" i="39"/>
  <c r="O61" i="39"/>
  <c r="N61" i="39"/>
  <c r="P61" i="39"/>
  <c r="Q61" i="39" s="1"/>
  <c r="O68" i="39"/>
  <c r="N68" i="39"/>
  <c r="P68" i="39"/>
  <c r="Q68" i="39" s="1"/>
  <c r="P49" i="39"/>
  <c r="Q49" i="39" s="1"/>
  <c r="W49" i="1" s="1"/>
  <c r="DK49" i="1" s="1"/>
  <c r="N49" i="39"/>
  <c r="O49" i="39" s="1"/>
  <c r="A49" i="39"/>
  <c r="N42" i="39"/>
  <c r="O42" i="39" s="1"/>
  <c r="P42" i="39"/>
  <c r="Q42" i="39" s="1"/>
  <c r="W42" i="1" s="1"/>
  <c r="DK42" i="1" s="1"/>
  <c r="N28" i="39"/>
  <c r="O28" i="39" s="1"/>
  <c r="P28" i="39"/>
  <c r="Q28" i="39" s="1"/>
  <c r="N24" i="39"/>
  <c r="O24" i="39" s="1"/>
  <c r="P24" i="39"/>
  <c r="Q24" i="39" s="1"/>
  <c r="N67" i="39"/>
  <c r="O67" i="39"/>
  <c r="P67" i="39"/>
  <c r="Q67" i="39" s="1"/>
  <c r="CK1" i="1"/>
  <c r="CX1" i="1"/>
  <c r="BX1" i="1"/>
  <c r="DK1" i="1"/>
  <c r="EJ1" i="1"/>
  <c r="DW1" i="1"/>
  <c r="T74" i="1"/>
  <c r="U63" i="1"/>
  <c r="W80" i="1"/>
  <c r="DK80" i="1" s="1"/>
  <c r="W68" i="1"/>
  <c r="DK68" i="1" s="1"/>
  <c r="U75" i="1"/>
  <c r="W61" i="1"/>
  <c r="DK61" i="1" s="1"/>
  <c r="T79" i="1"/>
  <c r="T60" i="1"/>
  <c r="W62" i="1"/>
  <c r="DK62" i="1" s="1"/>
  <c r="T55" i="1"/>
  <c r="U68" i="1"/>
  <c r="W73" i="1"/>
  <c r="DK73" i="1" s="1"/>
  <c r="U65" i="1"/>
  <c r="T73" i="1"/>
  <c r="T68" i="1"/>
  <c r="T69" i="1"/>
  <c r="U73" i="1"/>
  <c r="T18" i="1"/>
  <c r="T30" i="1"/>
  <c r="U29" i="1"/>
  <c r="T44" i="1"/>
  <c r="T46" i="1"/>
  <c r="T32" i="1"/>
  <c r="U42" i="1"/>
  <c r="T31" i="1"/>
  <c r="T19" i="1"/>
  <c r="BX19" i="1" s="1"/>
  <c r="U47" i="1"/>
  <c r="U37" i="1"/>
  <c r="T20" i="1"/>
  <c r="T41" i="1"/>
  <c r="W70" i="1"/>
  <c r="DK70" i="1" s="1"/>
  <c r="T54" i="1"/>
  <c r="T76" i="1"/>
  <c r="U80" i="1"/>
  <c r="T71" i="1"/>
  <c r="W74" i="1"/>
  <c r="DK74" i="1" s="1"/>
  <c r="T13" i="1"/>
  <c r="BX13" i="1" s="1"/>
  <c r="W64" i="1"/>
  <c r="DK64" i="1" s="1"/>
  <c r="W71" i="1"/>
  <c r="DK71" i="1" s="1"/>
  <c r="T70" i="1"/>
  <c r="W78" i="1"/>
  <c r="DK78" i="1" s="1"/>
  <c r="T23" i="1"/>
  <c r="U44" i="1"/>
  <c r="T21" i="1"/>
  <c r="T22" i="1"/>
  <c r="T25" i="1"/>
  <c r="T47" i="1"/>
  <c r="W69" i="1"/>
  <c r="DK69" i="1" s="1"/>
  <c r="U78" i="1"/>
  <c r="W75" i="1"/>
  <c r="DK75" i="1" s="1"/>
  <c r="T11" i="1"/>
  <c r="T58" i="1"/>
  <c r="U72" i="1"/>
  <c r="U71" i="1"/>
  <c r="T72" i="1"/>
  <c r="T78" i="1"/>
  <c r="T67" i="1"/>
  <c r="U69" i="1"/>
  <c r="U60" i="1"/>
  <c r="T77" i="1"/>
  <c r="U74" i="1"/>
  <c r="W77" i="1"/>
  <c r="DK77" i="1" s="1"/>
  <c r="U70" i="1"/>
  <c r="T49" i="1"/>
  <c r="W63" i="1"/>
  <c r="DK63" i="1" s="1"/>
  <c r="T65" i="1"/>
  <c r="W14" i="1"/>
  <c r="DK14" i="1" s="1"/>
  <c r="W45" i="1"/>
  <c r="DK45" i="1" s="1"/>
  <c r="T29" i="1"/>
  <c r="T36" i="1"/>
  <c r="U27" i="1"/>
  <c r="T28" i="1"/>
  <c r="T24" i="1"/>
  <c r="T43" i="1"/>
  <c r="BX43" i="1" s="1"/>
  <c r="T42" i="1"/>
  <c r="T40" i="1"/>
  <c r="T39" i="1"/>
  <c r="T52" i="1"/>
  <c r="T12" i="1"/>
  <c r="U61" i="1"/>
  <c r="T61" i="1"/>
  <c r="U67" i="1"/>
  <c r="T50" i="1"/>
  <c r="T56" i="1"/>
  <c r="BX56" i="1" s="1"/>
  <c r="W66" i="1"/>
  <c r="DK66" i="1" s="1"/>
  <c r="U79" i="1"/>
  <c r="W65" i="1"/>
  <c r="DK65" i="1" s="1"/>
  <c r="W72" i="1"/>
  <c r="DK72" i="1" s="1"/>
  <c r="U66" i="1"/>
  <c r="U62" i="1"/>
  <c r="T53" i="1"/>
  <c r="T51" i="1"/>
  <c r="W76" i="1"/>
  <c r="DK76" i="1" s="1"/>
  <c r="U76" i="1"/>
  <c r="W67" i="1"/>
  <c r="DK67" i="1" s="1"/>
  <c r="T57" i="1"/>
  <c r="T35" i="1"/>
  <c r="T33" i="1"/>
  <c r="T14" i="1"/>
  <c r="T15" i="1"/>
  <c r="T17" i="1"/>
  <c r="W28" i="1"/>
  <c r="DK28" i="1" s="1"/>
  <c r="T34" i="1"/>
  <c r="T16" i="1"/>
  <c r="T27" i="1"/>
  <c r="T38" i="1"/>
  <c r="W15" i="1"/>
  <c r="DK15" i="1" s="1"/>
  <c r="W47" i="1"/>
  <c r="DK47" i="1" s="1"/>
  <c r="U20" i="1"/>
  <c r="W24" i="1"/>
  <c r="DK24" i="1" s="1"/>
  <c r="T59" i="1"/>
  <c r="T63" i="1"/>
  <c r="U58" i="1"/>
  <c r="T66" i="1"/>
  <c r="T80" i="1"/>
  <c r="U64" i="1"/>
  <c r="T62" i="1"/>
  <c r="U77" i="1"/>
  <c r="T64" i="1"/>
  <c r="W79" i="1"/>
  <c r="DK79" i="1" s="1"/>
  <c r="T75" i="1"/>
  <c r="U14" i="1"/>
  <c r="T45" i="1"/>
  <c r="T37" i="1"/>
  <c r="W27" i="1"/>
  <c r="DK27" i="1" s="1"/>
  <c r="T26" i="1"/>
  <c r="T48" i="1"/>
  <c r="O57" i="42"/>
  <c r="N57" i="42"/>
  <c r="P57" i="42"/>
  <c r="Q57" i="42" s="1"/>
  <c r="O22" i="42"/>
  <c r="P22" i="42"/>
  <c r="Q22" i="42" s="1"/>
  <c r="N22" i="42"/>
  <c r="O40" i="42"/>
  <c r="P40" i="42"/>
  <c r="Q40" i="42" s="1"/>
  <c r="N40" i="42"/>
  <c r="N31" i="42"/>
  <c r="O31" i="42"/>
  <c r="Q31" i="42"/>
  <c r="P31" i="42"/>
  <c r="P26" i="42"/>
  <c r="Q26" i="42" s="1"/>
  <c r="AG75" i="1"/>
  <c r="CA1" i="1"/>
  <c r="AI76" i="1"/>
  <c r="DN76" i="1" s="1"/>
  <c r="AI79" i="1"/>
  <c r="DN79" i="1" s="1"/>
  <c r="AF71" i="1"/>
  <c r="AI62" i="1"/>
  <c r="DN62" i="1" s="1"/>
  <c r="AG60" i="1"/>
  <c r="AI55" i="1"/>
  <c r="DN55" i="1" s="1"/>
  <c r="DZ1" i="1"/>
  <c r="AF25" i="1"/>
  <c r="AF35" i="1"/>
  <c r="AG79" i="1"/>
  <c r="AF26" i="1"/>
  <c r="AF13" i="1"/>
  <c r="AF24" i="1"/>
  <c r="AI11" i="1"/>
  <c r="DN11" i="1" s="1"/>
  <c r="AG13" i="1"/>
  <c r="AI26" i="1"/>
  <c r="DN26" i="1" s="1"/>
  <c r="AG39" i="1"/>
  <c r="AF39" i="1"/>
  <c r="AF33" i="1"/>
  <c r="AG21" i="1"/>
  <c r="AG30" i="1"/>
  <c r="AI27" i="1"/>
  <c r="DN27" i="1" s="1"/>
  <c r="AG11" i="1"/>
  <c r="AG19" i="1"/>
  <c r="AG20" i="1"/>
  <c r="AF62" i="1"/>
  <c r="AG59" i="1"/>
  <c r="AI68" i="1"/>
  <c r="DN68" i="1" s="1"/>
  <c r="AG57" i="1"/>
  <c r="AI74" i="1"/>
  <c r="DN74" i="1" s="1"/>
  <c r="AI41" i="1"/>
  <c r="DN41" i="1" s="1"/>
  <c r="AG27" i="1"/>
  <c r="AG47" i="1"/>
  <c r="AI71" i="1"/>
  <c r="DN71" i="1" s="1"/>
  <c r="AF80" i="1"/>
  <c r="AI56" i="1"/>
  <c r="DN56" i="1" s="1"/>
  <c r="AI63" i="1"/>
  <c r="DN63" i="1" s="1"/>
  <c r="AF17" i="1"/>
  <c r="AG40" i="1"/>
  <c r="AI61" i="1"/>
  <c r="DN61" i="1" s="1"/>
  <c r="AG64" i="1"/>
  <c r="AF67" i="1"/>
  <c r="AG33" i="1"/>
  <c r="AG32" i="1"/>
  <c r="AG70" i="1"/>
  <c r="AG78" i="1"/>
  <c r="AI37" i="1"/>
  <c r="DN37" i="1" s="1"/>
  <c r="AG80" i="1"/>
  <c r="AI72" i="1"/>
  <c r="DN72" i="1" s="1"/>
  <c r="AI67" i="1"/>
  <c r="DN67" i="1" s="1"/>
  <c r="AF36" i="1"/>
  <c r="AI12" i="1"/>
  <c r="DN12" i="1" s="1"/>
  <c r="AG36" i="1"/>
  <c r="AI32" i="1"/>
  <c r="DN32" i="1" s="1"/>
  <c r="AG29" i="1"/>
  <c r="AG62" i="1"/>
  <c r="AF72" i="1"/>
  <c r="AF19" i="1"/>
  <c r="AF47" i="1"/>
  <c r="DN1" i="1"/>
  <c r="AF11" i="1"/>
  <c r="AF29" i="1"/>
  <c r="AF40" i="1"/>
  <c r="AF30" i="1"/>
  <c r="AI29" i="1"/>
  <c r="DN29" i="1" s="1"/>
  <c r="AI34" i="1"/>
  <c r="DN34" i="1" s="1"/>
  <c r="AI43" i="1"/>
  <c r="DN43" i="1" s="1"/>
  <c r="AI23" i="1"/>
  <c r="DN23" i="1" s="1"/>
  <c r="AF46" i="1"/>
  <c r="AG25" i="1"/>
  <c r="AG34" i="1"/>
  <c r="AG35" i="1"/>
  <c r="AF34" i="1"/>
  <c r="AG31" i="1"/>
  <c r="AI36" i="1"/>
  <c r="DN36" i="1" s="1"/>
  <c r="AI51" i="1"/>
  <c r="DN51" i="1" s="1"/>
  <c r="AI50" i="1"/>
  <c r="DN50" i="1" s="1"/>
  <c r="AF65" i="1"/>
  <c r="AG51" i="1"/>
  <c r="AF70" i="1"/>
  <c r="AF48" i="1"/>
  <c r="AG26" i="1"/>
  <c r="AI20" i="1"/>
  <c r="DN20" i="1" s="1"/>
  <c r="AF63" i="1"/>
  <c r="AF61" i="1"/>
  <c r="CA61" i="1" s="1"/>
  <c r="AG56" i="1"/>
  <c r="AI77" i="1"/>
  <c r="DN77" i="1" s="1"/>
  <c r="AF43" i="1"/>
  <c r="AI48" i="1"/>
  <c r="DN48" i="1" s="1"/>
  <c r="AF79" i="1"/>
  <c r="AG63" i="1"/>
  <c r="AF56" i="1"/>
  <c r="AF31" i="1"/>
  <c r="AG23" i="1"/>
  <c r="AI53" i="1"/>
  <c r="DN53" i="1" s="1"/>
  <c r="AI65" i="1"/>
  <c r="DN65" i="1" s="1"/>
  <c r="AI45" i="1"/>
  <c r="DN45" i="1" s="1"/>
  <c r="AI40" i="1"/>
  <c r="DN40" i="1" s="1"/>
  <c r="AG76" i="1"/>
  <c r="AI73" i="1"/>
  <c r="DN73" i="1" s="1"/>
  <c r="AG54" i="1"/>
  <c r="AG44" i="1"/>
  <c r="AI47" i="1"/>
  <c r="DN47" i="1" s="1"/>
  <c r="AG46" i="1"/>
  <c r="AF75" i="1"/>
  <c r="AG71" i="1"/>
  <c r="DA1" i="1"/>
  <c r="AG68" i="1"/>
  <c r="AF51" i="1"/>
  <c r="AF15" i="1"/>
  <c r="AI49" i="1"/>
  <c r="DN49" i="1" s="1"/>
  <c r="AF18" i="1"/>
  <c r="AF22" i="1"/>
  <c r="AI46" i="1"/>
  <c r="DN46" i="1" s="1"/>
  <c r="AI39" i="1"/>
  <c r="DN39" i="1" s="1"/>
  <c r="AF42" i="1"/>
  <c r="AI18" i="1"/>
  <c r="DN18" i="1" s="1"/>
  <c r="AI25" i="1"/>
  <c r="DN25" i="1" s="1"/>
  <c r="AI16" i="1"/>
  <c r="DN16" i="1" s="1"/>
  <c r="AG50" i="1"/>
  <c r="AG72" i="1"/>
  <c r="AI33" i="1"/>
  <c r="DN33" i="1" s="1"/>
  <c r="AG22" i="1"/>
  <c r="AF49" i="1"/>
  <c r="AG65" i="1"/>
  <c r="AI24" i="1"/>
  <c r="DN24" i="1" s="1"/>
  <c r="AF50" i="1"/>
  <c r="AI21" i="1"/>
  <c r="DN21" i="1" s="1"/>
  <c r="AF55" i="1"/>
  <c r="AG38" i="1"/>
  <c r="AI58" i="1"/>
  <c r="DN58" i="1" s="1"/>
  <c r="AI17" i="1"/>
  <c r="DN17" i="1" s="1"/>
  <c r="AG24" i="1"/>
  <c r="AI52" i="1"/>
  <c r="DN52" i="1" s="1"/>
  <c r="CN1" i="1"/>
  <c r="AF58" i="1"/>
  <c r="AF27" i="1"/>
  <c r="AF38" i="1"/>
  <c r="AF41" i="1"/>
  <c r="AG45" i="1"/>
  <c r="AI22" i="1"/>
  <c r="DN22" i="1" s="1"/>
  <c r="AF14" i="1"/>
  <c r="AG17" i="1"/>
  <c r="AG15" i="1"/>
  <c r="AI15" i="1"/>
  <c r="DN15" i="1" s="1"/>
  <c r="AI66" i="1"/>
  <c r="DN66" i="1" s="1"/>
  <c r="AF59" i="1"/>
  <c r="AG74" i="1"/>
  <c r="AI44" i="1"/>
  <c r="DN44" i="1" s="1"/>
  <c r="AI75" i="1"/>
  <c r="DN75" i="1" s="1"/>
  <c r="AF76" i="1"/>
  <c r="AG42" i="1"/>
  <c r="AF60" i="1"/>
  <c r="AG49" i="1"/>
  <c r="AG28" i="1"/>
  <c r="AI59" i="1"/>
  <c r="DN59" i="1" s="1"/>
  <c r="AF54" i="1"/>
  <c r="AF74" i="1"/>
  <c r="AI78" i="1"/>
  <c r="DN78" i="1" s="1"/>
  <c r="AI57" i="1"/>
  <c r="DN57" i="1" s="1"/>
  <c r="AF66" i="1"/>
  <c r="AI80" i="1"/>
  <c r="DN80" i="1" s="1"/>
  <c r="AF20" i="1"/>
  <c r="AF57" i="1"/>
  <c r="AF32" i="1"/>
  <c r="AF21" i="1"/>
  <c r="AI38" i="1"/>
  <c r="DN38" i="1" s="1"/>
  <c r="AI35" i="1"/>
  <c r="DN35" i="1" s="1"/>
  <c r="AG41" i="1"/>
  <c r="AG43" i="1"/>
  <c r="AI30" i="1"/>
  <c r="DN30" i="1" s="1"/>
  <c r="AG12" i="1"/>
  <c r="AG73" i="1"/>
  <c r="AF52" i="1"/>
  <c r="AI42" i="1"/>
  <c r="DN42" i="1" s="1"/>
  <c r="AF69" i="1"/>
  <c r="AG66" i="1"/>
  <c r="AI70" i="1"/>
  <c r="DN70" i="1" s="1"/>
  <c r="AG16" i="1"/>
  <c r="AF78" i="1"/>
  <c r="AG18" i="1"/>
  <c r="AG53" i="1"/>
  <c r="AI31" i="1"/>
  <c r="DN31" i="1" s="1"/>
  <c r="AG69" i="1"/>
  <c r="AI14" i="1"/>
  <c r="DN14" i="1" s="1"/>
  <c r="AF68" i="1"/>
  <c r="AG52" i="1"/>
  <c r="AF53" i="1"/>
  <c r="AG77" i="1"/>
  <c r="AF23" i="1"/>
  <c r="AG14" i="1"/>
  <c r="AG48" i="1"/>
  <c r="AI28" i="1"/>
  <c r="DN28" i="1" s="1"/>
  <c r="AI54" i="1"/>
  <c r="DN54" i="1" s="1"/>
  <c r="AG67" i="1"/>
  <c r="AG37" i="1"/>
  <c r="AF45" i="1"/>
  <c r="AI19" i="1"/>
  <c r="DN19" i="1" s="1"/>
  <c r="EM1" i="1"/>
  <c r="AI64" i="1"/>
  <c r="DN64" i="1" s="1"/>
  <c r="AI13" i="1"/>
  <c r="DN13" i="1" s="1"/>
  <c r="AG58" i="1"/>
  <c r="AF73" i="1"/>
  <c r="AF64" i="1"/>
  <c r="AI60" i="1"/>
  <c r="DN60" i="1" s="1"/>
  <c r="AG61" i="1"/>
  <c r="AF16" i="1"/>
  <c r="AF44" i="1"/>
  <c r="AG55" i="1"/>
  <c r="AF77" i="1"/>
  <c r="AF37" i="1"/>
  <c r="AI69" i="1"/>
  <c r="DN69" i="1" s="1"/>
  <c r="AF28" i="1"/>
  <c r="AF12" i="1"/>
  <c r="P41" i="42"/>
  <c r="Q41" i="42" s="1"/>
  <c r="O41" i="42"/>
  <c r="N41" i="42"/>
  <c r="P14" i="42"/>
  <c r="Q14" i="42" s="1"/>
  <c r="O14" i="42"/>
  <c r="N14" i="42"/>
  <c r="O24" i="42"/>
  <c r="N24" i="42"/>
  <c r="P24" i="42"/>
  <c r="Q24" i="42" s="1"/>
  <c r="N61" i="42"/>
  <c r="P61" i="42"/>
  <c r="Q61" i="42" s="1"/>
  <c r="O61" i="42"/>
  <c r="O27" i="42"/>
  <c r="N27" i="42"/>
  <c r="P27" i="42"/>
  <c r="Q27" i="42" s="1"/>
  <c r="O20" i="42"/>
  <c r="N20" i="42"/>
  <c r="P20" i="42"/>
  <c r="Q20" i="42" s="1"/>
  <c r="P65" i="42"/>
  <c r="Q65" i="42" s="1"/>
  <c r="O65" i="42"/>
  <c r="N65" i="42"/>
  <c r="O74" i="42"/>
  <c r="N74" i="42"/>
  <c r="P74" i="42"/>
  <c r="Q74" i="42" s="1"/>
  <c r="O55" i="42"/>
  <c r="N55" i="42"/>
  <c r="P55" i="42"/>
  <c r="Q55" i="42" s="1"/>
  <c r="N58" i="42"/>
  <c r="O58" i="42"/>
  <c r="P58" i="42"/>
  <c r="Q58" i="42" s="1"/>
  <c r="N69" i="42"/>
  <c r="O69" i="42"/>
  <c r="P69" i="42"/>
  <c r="Q69" i="42" s="1"/>
  <c r="O42" i="42"/>
  <c r="N42" i="42"/>
  <c r="P42" i="42"/>
  <c r="Q42" i="42" s="1"/>
  <c r="N59" i="42"/>
  <c r="O59" i="42"/>
  <c r="P59" i="42"/>
  <c r="Q59" i="42" s="1"/>
  <c r="O54" i="42"/>
  <c r="N54" i="42"/>
  <c r="P54" i="42"/>
  <c r="Q54" i="42" s="1"/>
  <c r="P17" i="38"/>
  <c r="Q17" i="38" s="1"/>
  <c r="S17" i="1" s="1"/>
  <c r="DJ17" i="1" s="1"/>
  <c r="N17" i="38"/>
  <c r="O77" i="38"/>
  <c r="Q77" i="38"/>
  <c r="P77" i="38"/>
  <c r="N77" i="38"/>
  <c r="P61" i="38"/>
  <c r="Q61" i="38" s="1"/>
  <c r="O61" i="38"/>
  <c r="N61" i="38"/>
  <c r="N24" i="38"/>
  <c r="O24" i="38" s="1"/>
  <c r="P24" i="38"/>
  <c r="Q24" i="38" s="1"/>
  <c r="A24" i="38"/>
  <c r="N15" i="38"/>
  <c r="O15" i="38" s="1"/>
  <c r="P15" i="38"/>
  <c r="Q15" i="38" s="1"/>
  <c r="S15" i="1" s="1"/>
  <c r="DJ15" i="1" s="1"/>
  <c r="N16" i="38"/>
  <c r="O16" i="38" s="1"/>
  <c r="P16" i="38"/>
  <c r="Q16" i="38" s="1"/>
  <c r="S16" i="1" s="1"/>
  <c r="DJ16" i="1" s="1"/>
  <c r="A65" i="38"/>
  <c r="O65" i="38"/>
  <c r="N65" i="38"/>
  <c r="P65" i="38"/>
  <c r="Q65" i="38" s="1"/>
  <c r="N35" i="38"/>
  <c r="O35" i="38" s="1"/>
  <c r="P35" i="38"/>
  <c r="Q35" i="38" s="1"/>
  <c r="N59" i="38"/>
  <c r="O59" i="38" s="1"/>
  <c r="P59" i="38"/>
  <c r="Q59" i="38" s="1"/>
  <c r="S59" i="1" s="1"/>
  <c r="DJ59" i="1" s="1"/>
  <c r="N30" i="38"/>
  <c r="O30" i="38" s="1"/>
  <c r="A30" i="38"/>
  <c r="P30" i="38"/>
  <c r="Q30" i="38" s="1"/>
  <c r="S30" i="1" s="1"/>
  <c r="DJ30" i="1" s="1"/>
  <c r="N74" i="38"/>
  <c r="O74" i="38"/>
  <c r="P74" i="38"/>
  <c r="Q74" i="38" s="1"/>
  <c r="N50" i="38"/>
  <c r="O50" i="38" s="1"/>
  <c r="P50" i="38"/>
  <c r="Q50" i="38" s="1"/>
  <c r="S50" i="1" s="1"/>
  <c r="DJ50" i="1" s="1"/>
  <c r="A50" i="38"/>
  <c r="O76" i="38"/>
  <c r="N76" i="38"/>
  <c r="P76" i="38"/>
  <c r="Q76" i="38" s="1"/>
  <c r="N52" i="38"/>
  <c r="O52" i="38" s="1"/>
  <c r="P52" i="38"/>
  <c r="Q52" i="38" s="1"/>
  <c r="N55" i="38"/>
  <c r="O55" i="38" s="1"/>
  <c r="P55" i="38"/>
  <c r="Q55" i="38" s="1"/>
  <c r="S55" i="1" s="1"/>
  <c r="DJ55" i="1" s="1"/>
  <c r="N22" i="38"/>
  <c r="O22" i="38" s="1"/>
  <c r="P22" i="38"/>
  <c r="Q22" i="38" s="1"/>
  <c r="S22" i="1" s="1"/>
  <c r="DJ22" i="1" s="1"/>
  <c r="A22" i="38"/>
  <c r="A63" i="38"/>
  <c r="O63" i="38"/>
  <c r="N63" i="38"/>
  <c r="P63" i="38"/>
  <c r="Q63" i="38" s="1"/>
  <c r="A69" i="38"/>
  <c r="O69" i="38"/>
  <c r="N69" i="38"/>
  <c r="P69" i="38"/>
  <c r="Q69" i="38" s="1"/>
  <c r="A33" i="55"/>
  <c r="O33" i="55"/>
  <c r="A48" i="55"/>
  <c r="O48" i="55"/>
  <c r="O59" i="55"/>
  <c r="A59" i="55"/>
  <c r="A67" i="55"/>
  <c r="P67" i="55"/>
  <c r="O67" i="55"/>
  <c r="A38" i="55"/>
  <c r="O38" i="55"/>
  <c r="O35" i="55"/>
  <c r="A35" i="55"/>
  <c r="O77" i="55"/>
  <c r="P77" i="55"/>
  <c r="A73" i="55"/>
  <c r="O73" i="55"/>
  <c r="P73" i="55"/>
  <c r="P76" i="55"/>
  <c r="O76" i="55"/>
  <c r="P64" i="55"/>
  <c r="O64" i="55"/>
  <c r="AW74" i="1"/>
  <c r="EQ1" i="1"/>
  <c r="AW64" i="1"/>
  <c r="ED1" i="1"/>
  <c r="AW80" i="1"/>
  <c r="AW71" i="1"/>
  <c r="CE1" i="1"/>
  <c r="AW79" i="1"/>
  <c r="AW66" i="1"/>
  <c r="DR1" i="1"/>
  <c r="AW76" i="1"/>
  <c r="AW72" i="1"/>
  <c r="DE1" i="1"/>
  <c r="AW78" i="1"/>
  <c r="AW68" i="1"/>
  <c r="CR1" i="1"/>
  <c r="AW65" i="1"/>
  <c r="AW70" i="1"/>
  <c r="AW77" i="1"/>
  <c r="AW67" i="1"/>
  <c r="AW69" i="1"/>
  <c r="AW73" i="1"/>
  <c r="AW61" i="1"/>
  <c r="AW62" i="1"/>
  <c r="AW75" i="1"/>
  <c r="AW63" i="1"/>
  <c r="AW17" i="1"/>
  <c r="AW20" i="1"/>
  <c r="AW42" i="1"/>
  <c r="AW26" i="1"/>
  <c r="AW51" i="1"/>
  <c r="AW23" i="1"/>
  <c r="AW12" i="1"/>
  <c r="AW39" i="1"/>
  <c r="AW31" i="1"/>
  <c r="AW53" i="1"/>
  <c r="AW19" i="1"/>
  <c r="AW49" i="1"/>
  <c r="AW21" i="1"/>
  <c r="AW15" i="1"/>
  <c r="O46" i="55"/>
  <c r="AW46" i="1" s="1"/>
  <c r="O78" i="55"/>
  <c r="P78" i="55"/>
  <c r="P75" i="41"/>
  <c r="Q75" i="41" s="1"/>
  <c r="O75" i="41"/>
  <c r="N75" i="41"/>
  <c r="N78" i="41"/>
  <c r="O78" i="41"/>
  <c r="P78" i="41"/>
  <c r="Q78" i="41" s="1"/>
  <c r="P64" i="41"/>
  <c r="Q64" i="41" s="1"/>
  <c r="O64" i="41"/>
  <c r="N64" i="41"/>
  <c r="O60" i="41"/>
  <c r="N60" i="41"/>
  <c r="P60" i="41"/>
  <c r="Q60" i="41" s="1"/>
  <c r="P37" i="41"/>
  <c r="Q37" i="41" s="1"/>
  <c r="O37" i="41"/>
  <c r="N37" i="41"/>
  <c r="O71" i="41"/>
  <c r="P71" i="41"/>
  <c r="Q71" i="41" s="1"/>
  <c r="N71" i="41"/>
  <c r="O58" i="41"/>
  <c r="P58" i="41"/>
  <c r="Q58" i="41" s="1"/>
  <c r="N58" i="41"/>
  <c r="O29" i="41"/>
  <c r="P29" i="41"/>
  <c r="Q29" i="41" s="1"/>
  <c r="N29" i="41"/>
  <c r="O54" i="41"/>
  <c r="N54" i="41"/>
  <c r="P54" i="41"/>
  <c r="Q54" i="41" s="1"/>
  <c r="O15" i="41"/>
  <c r="N15" i="41"/>
  <c r="P15" i="41"/>
  <c r="Q15" i="41" s="1"/>
  <c r="N28" i="41"/>
  <c r="O28" i="41"/>
  <c r="P28" i="41"/>
  <c r="Q28" i="41" s="1"/>
  <c r="N57" i="41"/>
  <c r="P57" i="41"/>
  <c r="Q57" i="41" s="1"/>
  <c r="O57" i="41"/>
  <c r="O19" i="41"/>
  <c r="N19" i="41"/>
  <c r="P19" i="41"/>
  <c r="Q19" i="41" s="1"/>
  <c r="O33" i="41"/>
  <c r="N33" i="41"/>
  <c r="P33" i="41"/>
  <c r="Q33" i="41" s="1"/>
  <c r="O66" i="41"/>
  <c r="N66" i="41"/>
  <c r="P66" i="41"/>
  <c r="Q66" i="41" s="1"/>
  <c r="N69" i="41"/>
  <c r="O69" i="41"/>
  <c r="P69" i="41"/>
  <c r="Q69" i="41" s="1"/>
  <c r="A15" i="40"/>
  <c r="A18" i="39"/>
  <c r="F82" i="42"/>
  <c r="A21" i="40"/>
  <c r="A19" i="40"/>
  <c r="A55" i="40"/>
  <c r="A23" i="40"/>
  <c r="A22" i="40"/>
  <c r="A35" i="38"/>
  <c r="A52" i="38"/>
  <c r="A47" i="55"/>
  <c r="A46" i="55"/>
  <c r="A52" i="55"/>
  <c r="A26" i="55"/>
  <c r="A19" i="55"/>
  <c r="A21" i="39"/>
  <c r="A44" i="39"/>
  <c r="AS47" i="1"/>
  <c r="P44" i="51" s="1"/>
  <c r="BA17" i="1"/>
  <c r="I39" i="1"/>
  <c r="U30" i="1"/>
  <c r="O57" i="37"/>
  <c r="Y38" i="1"/>
  <c r="A12" i="40"/>
  <c r="A65" i="40"/>
  <c r="A62" i="39"/>
  <c r="A44" i="40"/>
  <c r="A27" i="40"/>
  <c r="A73" i="40"/>
  <c r="A38" i="40"/>
  <c r="A53" i="38"/>
  <c r="A40" i="38"/>
  <c r="A39" i="38"/>
  <c r="A49" i="38"/>
  <c r="A15" i="38"/>
  <c r="A80" i="38"/>
  <c r="A49" i="55"/>
  <c r="A16" i="55"/>
  <c r="A51" i="55"/>
  <c r="A17" i="55"/>
  <c r="A62" i="55"/>
  <c r="AW60" i="1"/>
  <c r="A45" i="39"/>
  <c r="P40" i="39"/>
  <c r="Q40" i="39" s="1"/>
  <c r="W40" i="1" s="1"/>
  <c r="DK40" i="1" s="1"/>
  <c r="N40" i="39"/>
  <c r="O40" i="39" s="1"/>
  <c r="A24" i="39"/>
  <c r="N12" i="39"/>
  <c r="O12" i="39" s="1"/>
  <c r="P12" i="39"/>
  <c r="Q12" i="39" s="1"/>
  <c r="W12" i="1" s="1"/>
  <c r="DK12" i="1" s="1"/>
  <c r="A48" i="39"/>
  <c r="Q48" i="39"/>
  <c r="W48" i="1" s="1"/>
  <c r="DK48" i="1" s="1"/>
  <c r="P48" i="39"/>
  <c r="N48" i="39"/>
  <c r="O48" i="39" s="1"/>
  <c r="A59" i="39"/>
  <c r="N59" i="39"/>
  <c r="O59" i="39" s="1"/>
  <c r="P59" i="39"/>
  <c r="Q59" i="39" s="1"/>
  <c r="W59" i="1" s="1"/>
  <c r="DK59" i="1" s="1"/>
  <c r="P38" i="39"/>
  <c r="Q38" i="39" s="1"/>
  <c r="W38" i="1" s="1"/>
  <c r="DK38" i="1" s="1"/>
  <c r="N38" i="39"/>
  <c r="O38" i="39" s="1"/>
  <c r="A38" i="39"/>
  <c r="N76" i="39"/>
  <c r="P76" i="39"/>
  <c r="Q76" i="39" s="1"/>
  <c r="O76" i="39"/>
  <c r="P32" i="39"/>
  <c r="Q32" i="39" s="1"/>
  <c r="W32" i="1" s="1"/>
  <c r="DK32" i="1" s="1"/>
  <c r="N32" i="39"/>
  <c r="O32" i="39" s="1"/>
  <c r="A53" i="39"/>
  <c r="P53" i="39"/>
  <c r="Q53" i="39" s="1"/>
  <c r="W53" i="1" s="1"/>
  <c r="DK53" i="1" s="1"/>
  <c r="EF53" i="1" s="1"/>
  <c r="BE53" i="1" s="1"/>
  <c r="BH53" i="1" s="1"/>
  <c r="O53" i="39"/>
  <c r="N53" i="39"/>
  <c r="U53" i="1" s="1"/>
  <c r="P21" i="39"/>
  <c r="Q21" i="39" s="1"/>
  <c r="W21" i="1" s="1"/>
  <c r="DK21" i="1" s="1"/>
  <c r="N21" i="39"/>
  <c r="P33" i="39"/>
  <c r="Q33" i="39" s="1"/>
  <c r="W33" i="1" s="1"/>
  <c r="DK33" i="1" s="1"/>
  <c r="EF33" i="1" s="1"/>
  <c r="BE33" i="1" s="1"/>
  <c r="N33" i="39"/>
  <c r="O33" i="39" s="1"/>
  <c r="A33" i="39"/>
  <c r="P74" i="39"/>
  <c r="Q74" i="39" s="1"/>
  <c r="N74" i="39"/>
  <c r="O74" i="39"/>
  <c r="P77" i="39"/>
  <c r="Q77" i="39" s="1"/>
  <c r="N77" i="39"/>
  <c r="O77" i="39"/>
  <c r="N11" i="39"/>
  <c r="P11" i="39"/>
  <c r="Q11" i="39" s="1"/>
  <c r="W11" i="1" s="1"/>
  <c r="DK11" i="1" s="1"/>
  <c r="P34" i="39"/>
  <c r="Q34" i="39"/>
  <c r="W34" i="1" s="1"/>
  <c r="DK34" i="1" s="1"/>
  <c r="N34" i="39"/>
  <c r="O34" i="39" s="1"/>
  <c r="N25" i="39"/>
  <c r="O25" i="39" s="1"/>
  <c r="P25" i="39"/>
  <c r="Q25" i="39" s="1"/>
  <c r="W25" i="1" s="1"/>
  <c r="DK25" i="1" s="1"/>
  <c r="A25" i="39"/>
  <c r="P46" i="39"/>
  <c r="Q46" i="39" s="1"/>
  <c r="W46" i="1" s="1"/>
  <c r="DK46" i="1" s="1"/>
  <c r="N46" i="39"/>
  <c r="O46" i="39" s="1"/>
  <c r="O43" i="42"/>
  <c r="N43" i="42"/>
  <c r="P43" i="42"/>
  <c r="Q43" i="42" s="1"/>
  <c r="P37" i="42"/>
  <c r="Q37" i="42" s="1"/>
  <c r="N37" i="42"/>
  <c r="O37" i="42"/>
  <c r="N25" i="42"/>
  <c r="P25" i="42"/>
  <c r="Q25" i="42" s="1"/>
  <c r="O25" i="42"/>
  <c r="O39" i="42"/>
  <c r="N39" i="42"/>
  <c r="P39" i="42"/>
  <c r="Q39" i="42" s="1"/>
  <c r="O48" i="42"/>
  <c r="N48" i="42"/>
  <c r="P48" i="42"/>
  <c r="Q48" i="42" s="1"/>
  <c r="P75" i="42"/>
  <c r="Q75" i="42" s="1"/>
  <c r="O75" i="42"/>
  <c r="N75" i="42"/>
  <c r="O80" i="42"/>
  <c r="N80" i="42"/>
  <c r="P80" i="42"/>
  <c r="Q80" i="42" s="1"/>
  <c r="O53" i="42"/>
  <c r="P53" i="42"/>
  <c r="Q53" i="42" s="1"/>
  <c r="N53" i="42"/>
  <c r="N52" i="42"/>
  <c r="O52" i="42"/>
  <c r="P52" i="42"/>
  <c r="Q52" i="42" s="1"/>
  <c r="N79" i="42"/>
  <c r="P79" i="42"/>
  <c r="Q79" i="42" s="1"/>
  <c r="O79" i="42"/>
  <c r="O15" i="42"/>
  <c r="P15" i="42"/>
  <c r="N15" i="42"/>
  <c r="Q15" i="42"/>
  <c r="O18" i="42"/>
  <c r="N18" i="42"/>
  <c r="P18" i="42"/>
  <c r="Q18" i="42" s="1"/>
  <c r="N45" i="42"/>
  <c r="O45" i="42"/>
  <c r="P45" i="42"/>
  <c r="Q45" i="42" s="1"/>
  <c r="N66" i="42"/>
  <c r="O66" i="42"/>
  <c r="P66" i="42"/>
  <c r="Q66" i="42" s="1"/>
  <c r="N73" i="42"/>
  <c r="O73" i="42"/>
  <c r="P73" i="42"/>
  <c r="Q73" i="42" s="1"/>
  <c r="N70" i="42"/>
  <c r="O70" i="42"/>
  <c r="P70" i="42"/>
  <c r="Q70" i="42" s="1"/>
  <c r="P56" i="38"/>
  <c r="Q56" i="38" s="1"/>
  <c r="S56" i="1" s="1"/>
  <c r="DJ56" i="1" s="1"/>
  <c r="N56" i="38"/>
  <c r="O56" i="38" s="1"/>
  <c r="N36" i="38"/>
  <c r="Q36" i="1" s="1"/>
  <c r="P36" i="38"/>
  <c r="Q36" i="38" s="1"/>
  <c r="S36" i="1" s="1"/>
  <c r="DJ36" i="1" s="1"/>
  <c r="O36" i="38"/>
  <c r="P44" i="38"/>
  <c r="Q44" i="38" s="1"/>
  <c r="S44" i="1" s="1"/>
  <c r="DJ44" i="1" s="1"/>
  <c r="CW1" i="1"/>
  <c r="DJ1" i="1"/>
  <c r="P45" i="1"/>
  <c r="Q39" i="1"/>
  <c r="P57" i="1"/>
  <c r="Q50" i="1"/>
  <c r="S77" i="1"/>
  <c r="DJ77" i="1" s="1"/>
  <c r="EF77" i="1" s="1"/>
  <c r="BE77" i="1" s="1"/>
  <c r="P35" i="1"/>
  <c r="Q80" i="1"/>
  <c r="P80" i="1"/>
  <c r="Q33" i="1"/>
  <c r="P63" i="1"/>
  <c r="P19" i="1"/>
  <c r="P15" i="1"/>
  <c r="P28" i="1"/>
  <c r="P52" i="1"/>
  <c r="P51" i="1"/>
  <c r="S61" i="1"/>
  <c r="DJ61" i="1" s="1"/>
  <c r="EF61" i="1" s="1"/>
  <c r="BE61" i="1" s="1"/>
  <c r="BM61" i="1" s="1"/>
  <c r="S39" i="1"/>
  <c r="DJ39" i="1" s="1"/>
  <c r="P18" i="1"/>
  <c r="Q55" i="1"/>
  <c r="S78" i="1"/>
  <c r="DJ78" i="1" s="1"/>
  <c r="EF78" i="1" s="1"/>
  <c r="BE78" i="1" s="1"/>
  <c r="P26" i="1"/>
  <c r="S64" i="1"/>
  <c r="DJ64" i="1" s="1"/>
  <c r="Q35" i="1"/>
  <c r="S80" i="1"/>
  <c r="DJ80" i="1" s="1"/>
  <c r="EF80" i="1" s="1"/>
  <c r="BE80" i="1" s="1"/>
  <c r="BH80" i="1" s="1"/>
  <c r="P64" i="1"/>
  <c r="P23" i="1"/>
  <c r="P22" i="1"/>
  <c r="Q22" i="1"/>
  <c r="Q78" i="1"/>
  <c r="S35" i="1"/>
  <c r="DJ35" i="1" s="1"/>
  <c r="P40" i="1"/>
  <c r="DV1" i="1"/>
  <c r="Q13" i="1"/>
  <c r="P49" i="1"/>
  <c r="S66" i="1"/>
  <c r="DJ66" i="1" s="1"/>
  <c r="EF66" i="1" s="1"/>
  <c r="BE66" i="1" s="1"/>
  <c r="Q61" i="1"/>
  <c r="P20" i="1"/>
  <c r="Q16" i="1"/>
  <c r="S70" i="1"/>
  <c r="DJ70" i="1" s="1"/>
  <c r="EF70" i="1" s="1"/>
  <c r="BE70" i="1" s="1"/>
  <c r="Q73" i="1"/>
  <c r="P32" i="1"/>
  <c r="P76" i="1"/>
  <c r="P16" i="1"/>
  <c r="S79" i="1"/>
  <c r="DJ79" i="1" s="1"/>
  <c r="P27" i="1"/>
  <c r="P31" i="1"/>
  <c r="S62" i="1"/>
  <c r="DJ62" i="1" s="1"/>
  <c r="P30" i="1"/>
  <c r="P62" i="1"/>
  <c r="P21" i="1"/>
  <c r="P70" i="1"/>
  <c r="S75" i="1"/>
  <c r="DJ75" i="1" s="1"/>
  <c r="EF75" i="1" s="1"/>
  <c r="BE75" i="1" s="1"/>
  <c r="P17" i="1"/>
  <c r="P24" i="1"/>
  <c r="P67" i="1"/>
  <c r="S72" i="1"/>
  <c r="DJ72" i="1" s="1"/>
  <c r="S40" i="1"/>
  <c r="DJ40" i="1" s="1"/>
  <c r="EF40" i="1" s="1"/>
  <c r="BE40" i="1" s="1"/>
  <c r="BH40" i="1" s="1"/>
  <c r="P65" i="1"/>
  <c r="P54" i="1"/>
  <c r="P56" i="1"/>
  <c r="Q52" i="1"/>
  <c r="P47" i="1"/>
  <c r="BW47" i="1" s="1"/>
  <c r="S69" i="1"/>
  <c r="DJ69" i="1" s="1"/>
  <c r="P50" i="1"/>
  <c r="S73" i="1"/>
  <c r="DJ73" i="1" s="1"/>
  <c r="P53" i="1"/>
  <c r="P75" i="1"/>
  <c r="Q64" i="1"/>
  <c r="Q72" i="1"/>
  <c r="P25" i="1"/>
  <c r="S67" i="1"/>
  <c r="DJ67" i="1" s="1"/>
  <c r="EF67" i="1" s="1"/>
  <c r="BE67" i="1" s="1"/>
  <c r="P37" i="1"/>
  <c r="P34" i="1"/>
  <c r="Q79" i="1"/>
  <c r="Q68" i="1"/>
  <c r="Q58" i="1"/>
  <c r="Q71" i="1"/>
  <c r="P11" i="1"/>
  <c r="P61" i="1"/>
  <c r="Q76" i="1"/>
  <c r="S76" i="1"/>
  <c r="DJ76" i="1" s="1"/>
  <c r="EF76" i="1" s="1"/>
  <c r="BE76" i="1" s="1"/>
  <c r="Q70" i="1"/>
  <c r="P44" i="1"/>
  <c r="BW1" i="1"/>
  <c r="Q69" i="1"/>
  <c r="Q65" i="1"/>
  <c r="S24" i="1"/>
  <c r="DJ24" i="1" s="1"/>
  <c r="P58" i="1"/>
  <c r="P41" i="1"/>
  <c r="P36" i="1"/>
  <c r="P69" i="1"/>
  <c r="P48" i="1"/>
  <c r="P73" i="1"/>
  <c r="P42" i="1"/>
  <c r="P38" i="1"/>
  <c r="Q77" i="1"/>
  <c r="Q14" i="1"/>
  <c r="S14" i="1"/>
  <c r="DJ14" i="1" s="1"/>
  <c r="EF14" i="1" s="1"/>
  <c r="BE14" i="1" s="1"/>
  <c r="BH14" i="1" s="1"/>
  <c r="Q63" i="1"/>
  <c r="P71" i="1"/>
  <c r="Q37" i="1"/>
  <c r="CJ1" i="1"/>
  <c r="S68" i="1"/>
  <c r="DJ68" i="1" s="1"/>
  <c r="P66" i="1"/>
  <c r="Q75" i="1"/>
  <c r="P68" i="1"/>
  <c r="P46" i="1"/>
  <c r="BW46" i="1" s="1"/>
  <c r="P14" i="1"/>
  <c r="P12" i="1"/>
  <c r="Q24" i="1"/>
  <c r="S52" i="1"/>
  <c r="DJ52" i="1" s="1"/>
  <c r="P60" i="1"/>
  <c r="Q74" i="1"/>
  <c r="P33" i="1"/>
  <c r="P72" i="1"/>
  <c r="Q67" i="1"/>
  <c r="P55" i="1"/>
  <c r="P74" i="1"/>
  <c r="P29" i="1"/>
  <c r="Q66" i="1"/>
  <c r="S63" i="1"/>
  <c r="DJ63" i="1" s="1"/>
  <c r="Q15" i="1"/>
  <c r="P77" i="1"/>
  <c r="P59" i="1"/>
  <c r="P43" i="1"/>
  <c r="Q30" i="1"/>
  <c r="P79" i="1"/>
  <c r="EI1" i="1"/>
  <c r="S71" i="1"/>
  <c r="DJ71" i="1" s="1"/>
  <c r="Q62" i="1"/>
  <c r="S74" i="1"/>
  <c r="DJ74" i="1" s="1"/>
  <c r="EF74" i="1" s="1"/>
  <c r="BE74" i="1" s="1"/>
  <c r="BM74" i="1" s="1"/>
  <c r="P13" i="1"/>
  <c r="P78" i="1"/>
  <c r="S65" i="1"/>
  <c r="DJ65" i="1" s="1"/>
  <c r="P39" i="1"/>
  <c r="A79" i="38"/>
  <c r="N79" i="38"/>
  <c r="O79" i="38"/>
  <c r="P79" i="38"/>
  <c r="Q79" i="38" s="1"/>
  <c r="N29" i="38"/>
  <c r="O29" i="38" s="1"/>
  <c r="P29" i="38"/>
  <c r="Q29" i="38" s="1"/>
  <c r="S29" i="1" s="1"/>
  <c r="DJ29" i="1" s="1"/>
  <c r="EF29" i="1" s="1"/>
  <c r="BE29" i="1" s="1"/>
  <c r="BH29" i="1" s="1"/>
  <c r="N54" i="38"/>
  <c r="P54" i="38"/>
  <c r="Q54" i="38" s="1"/>
  <c r="S54" i="1" s="1"/>
  <c r="DJ54" i="1" s="1"/>
  <c r="N68" i="38"/>
  <c r="O68" i="38"/>
  <c r="P68" i="38"/>
  <c r="Q68" i="38" s="1"/>
  <c r="A73" i="38"/>
  <c r="N73" i="38"/>
  <c r="O73" i="38"/>
  <c r="P73" i="38"/>
  <c r="Q73" i="38" s="1"/>
  <c r="N28" i="38"/>
  <c r="O28" i="38" s="1"/>
  <c r="P28" i="38"/>
  <c r="Q28" i="38" s="1"/>
  <c r="S28" i="1" s="1"/>
  <c r="DJ28" i="1" s="1"/>
  <c r="EF28" i="1" s="1"/>
  <c r="BE28" i="1" s="1"/>
  <c r="BH28" i="1" s="1"/>
  <c r="A71" i="38"/>
  <c r="O71" i="38"/>
  <c r="N71" i="38"/>
  <c r="P71" i="38"/>
  <c r="Q71" i="38" s="1"/>
  <c r="N44" i="38"/>
  <c r="O44" i="38" s="1"/>
  <c r="A44" i="38"/>
  <c r="N25" i="38"/>
  <c r="Q25" i="1" s="1"/>
  <c r="P25" i="38"/>
  <c r="Q25" i="38" s="1"/>
  <c r="S25" i="1" s="1"/>
  <c r="DJ25" i="1" s="1"/>
  <c r="A25" i="38"/>
  <c r="N27" i="38"/>
  <c r="O27" i="38" s="1"/>
  <c r="P27" i="38"/>
  <c r="Q27" i="38" s="1"/>
  <c r="S27" i="1" s="1"/>
  <c r="DJ27" i="1" s="1"/>
  <c r="A27" i="38"/>
  <c r="N20" i="38"/>
  <c r="Q20" i="1" s="1"/>
  <c r="P20" i="38"/>
  <c r="Q20" i="38" s="1"/>
  <c r="S20" i="1" s="1"/>
  <c r="DJ20" i="1" s="1"/>
  <c r="N18" i="38"/>
  <c r="O18" i="38" s="1"/>
  <c r="A18" i="38"/>
  <c r="P18" i="38"/>
  <c r="Q18" i="38" s="1"/>
  <c r="S18" i="1" s="1"/>
  <c r="DJ18" i="1" s="1"/>
  <c r="N43" i="38"/>
  <c r="O43" i="38" s="1"/>
  <c r="P43" i="38"/>
  <c r="Q43" i="38" s="1"/>
  <c r="S43" i="1" s="1"/>
  <c r="DJ43" i="1" s="1"/>
  <c r="EF43" i="1" s="1"/>
  <c r="BE43" i="1" s="1"/>
  <c r="BH43" i="1" s="1"/>
  <c r="A43" i="38"/>
  <c r="O41" i="38"/>
  <c r="N41" i="38"/>
  <c r="Q41" i="1" s="1"/>
  <c r="P41" i="38"/>
  <c r="Q41" i="38" s="1"/>
  <c r="S41" i="1" s="1"/>
  <c r="DJ41" i="1" s="1"/>
  <c r="A41" i="38"/>
  <c r="N51" i="38"/>
  <c r="Q51" i="1" s="1"/>
  <c r="P51" i="38"/>
  <c r="Q51" i="38" s="1"/>
  <c r="S51" i="1" s="1"/>
  <c r="DJ51" i="1" s="1"/>
  <c r="N31" i="38"/>
  <c r="P31" i="38"/>
  <c r="Q31" i="38" s="1"/>
  <c r="S31" i="1" s="1"/>
  <c r="DJ31" i="1" s="1"/>
  <c r="N67" i="38"/>
  <c r="O67" i="38"/>
  <c r="P67" i="38"/>
  <c r="Q67" i="38" s="1"/>
  <c r="A53" i="55"/>
  <c r="A11" i="55"/>
  <c r="O11" i="55"/>
  <c r="AW11" i="1" s="1"/>
  <c r="A18" i="55"/>
  <c r="O18" i="55"/>
  <c r="AW18" i="1" s="1"/>
  <c r="A72" i="55"/>
  <c r="O72" i="55"/>
  <c r="P72" i="55"/>
  <c r="A42" i="55"/>
  <c r="O13" i="55"/>
  <c r="O68" i="55"/>
  <c r="P68" i="55"/>
  <c r="O45" i="55"/>
  <c r="P45" i="55" s="1"/>
  <c r="A45" i="55"/>
  <c r="O58" i="55"/>
  <c r="P58" i="55" s="1"/>
  <c r="A58" i="55"/>
  <c r="A70" i="55"/>
  <c r="O70" i="55"/>
  <c r="P70" i="55"/>
  <c r="P79" i="55"/>
  <c r="O79" i="55"/>
  <c r="O29" i="55"/>
  <c r="A29" i="55"/>
  <c r="P80" i="55"/>
  <c r="O80" i="55"/>
  <c r="O74" i="55"/>
  <c r="P74" i="55"/>
  <c r="O57" i="55"/>
  <c r="P57" i="55" s="1"/>
  <c r="A57" i="55"/>
  <c r="P59" i="41"/>
  <c r="Q59" i="41" s="1"/>
  <c r="O59" i="41"/>
  <c r="N59" i="41"/>
  <c r="O68" i="41"/>
  <c r="N68" i="41"/>
  <c r="P68" i="41"/>
  <c r="Q68" i="41" s="1"/>
  <c r="O38" i="41"/>
  <c r="N38" i="41"/>
  <c r="P38" i="41"/>
  <c r="Q38" i="41" s="1"/>
  <c r="N51" i="41"/>
  <c r="O51" i="41"/>
  <c r="P51" i="41"/>
  <c r="Q51" i="41" s="1"/>
  <c r="P48" i="41"/>
  <c r="Q48" i="41" s="1"/>
  <c r="N48" i="41"/>
  <c r="O48" i="41"/>
  <c r="N80" i="41"/>
  <c r="O80" i="41"/>
  <c r="P80" i="41"/>
  <c r="Q80" i="41" s="1"/>
  <c r="N56" i="41"/>
  <c r="O56" i="41"/>
  <c r="P56" i="41"/>
  <c r="Q56" i="41" s="1"/>
  <c r="P42" i="41"/>
  <c r="Q42" i="41" s="1"/>
  <c r="O42" i="41"/>
  <c r="N42" i="41"/>
  <c r="O35" i="41"/>
  <c r="P35" i="41"/>
  <c r="Q35" i="41" s="1"/>
  <c r="N35" i="41"/>
  <c r="P24" i="41"/>
  <c r="Q24" i="41" s="1"/>
  <c r="O24" i="41"/>
  <c r="N24" i="41"/>
  <c r="O34" i="41"/>
  <c r="P34" i="41"/>
  <c r="Q34" i="41" s="1"/>
  <c r="N34" i="41"/>
  <c r="N47" i="41"/>
  <c r="O47" i="41"/>
  <c r="P47" i="41"/>
  <c r="Q47" i="41" s="1"/>
  <c r="N17" i="41"/>
  <c r="O17" i="41"/>
  <c r="P17" i="41"/>
  <c r="Q17" i="41" s="1"/>
  <c r="P44" i="41"/>
  <c r="Q44" i="41" s="1"/>
  <c r="N44" i="41"/>
  <c r="O44" i="41"/>
  <c r="O16" i="41"/>
  <c r="N16" i="41"/>
  <c r="P16" i="41"/>
  <c r="Q16" i="41" s="1"/>
  <c r="N63" i="41"/>
  <c r="P63" i="41"/>
  <c r="Q63" i="41" s="1"/>
  <c r="O63" i="41"/>
  <c r="O32" i="41"/>
  <c r="P32" i="41"/>
  <c r="Q32" i="41" s="1"/>
  <c r="N32" i="41"/>
  <c r="CK7" i="1"/>
  <c r="EJ7" i="1"/>
  <c r="CX7" i="1"/>
  <c r="DW7" i="1"/>
  <c r="N71" i="40"/>
  <c r="O71" i="40"/>
  <c r="P71" i="40"/>
  <c r="Q71" i="40" s="1"/>
  <c r="N21" i="40"/>
  <c r="O21" i="40" s="1"/>
  <c r="P21" i="40"/>
  <c r="Q21" i="40" s="1"/>
  <c r="AA21" i="1" s="1"/>
  <c r="DL21" i="1" s="1"/>
  <c r="A39" i="40"/>
  <c r="P39" i="40"/>
  <c r="Q39" i="40" s="1"/>
  <c r="AA39" i="1" s="1"/>
  <c r="DL39" i="1" s="1"/>
  <c r="N39" i="40"/>
  <c r="O39" i="40" s="1"/>
  <c r="O76" i="40"/>
  <c r="N76" i="40"/>
  <c r="P76" i="40"/>
  <c r="Q76" i="40" s="1"/>
  <c r="N60" i="40"/>
  <c r="O60" i="40" s="1"/>
  <c r="P60" i="40"/>
  <c r="Q60" i="40" s="1"/>
  <c r="AA60" i="1" s="1"/>
  <c r="DL60" i="1" s="1"/>
  <c r="A60" i="40"/>
  <c r="O72" i="40"/>
  <c r="P72" i="40"/>
  <c r="Q72" i="40" s="1"/>
  <c r="N72" i="40"/>
  <c r="N37" i="40"/>
  <c r="O37" i="40" s="1"/>
  <c r="P37" i="40"/>
  <c r="Q37" i="40" s="1"/>
  <c r="AA37" i="1" s="1"/>
  <c r="DL37" i="1" s="1"/>
  <c r="P35" i="40"/>
  <c r="Q35" i="40" s="1"/>
  <c r="AA35" i="1" s="1"/>
  <c r="DL35" i="1" s="1"/>
  <c r="N35" i="40"/>
  <c r="O35" i="40" s="1"/>
  <c r="N15" i="40"/>
  <c r="Y15" i="1" s="1"/>
  <c r="P15" i="40"/>
  <c r="Q15" i="40" s="1"/>
  <c r="AA15" i="1" s="1"/>
  <c r="DL15" i="1" s="1"/>
  <c r="P79" i="40"/>
  <c r="Q79" i="40" s="1"/>
  <c r="N79" i="40"/>
  <c r="O79" i="40"/>
  <c r="P19" i="40"/>
  <c r="N19" i="40"/>
  <c r="O19" i="40" s="1"/>
  <c r="Q19" i="40"/>
  <c r="AA19" i="1" s="1"/>
  <c r="DL19" i="1" s="1"/>
  <c r="EI7" i="1"/>
  <c r="CW7" i="1"/>
  <c r="DV7" i="1"/>
  <c r="CJ7" i="1"/>
  <c r="AK37" i="1"/>
  <c r="AK33" i="1"/>
  <c r="AK32" i="1"/>
  <c r="AK75" i="1"/>
  <c r="AK36" i="1"/>
  <c r="AK52" i="1"/>
  <c r="AK13" i="1"/>
  <c r="AK70" i="1"/>
  <c r="AK14" i="1"/>
  <c r="AK15" i="1"/>
  <c r="AK78" i="1"/>
  <c r="AK31" i="1"/>
  <c r="AK45" i="1"/>
  <c r="AK27" i="1"/>
  <c r="AK66" i="1"/>
  <c r="AK17" i="1"/>
  <c r="AK11" i="1"/>
  <c r="EA1" i="1"/>
  <c r="EN1" i="1"/>
  <c r="AK67" i="1"/>
  <c r="AK30" i="1"/>
  <c r="AK44" i="1"/>
  <c r="AK16" i="1"/>
  <c r="AK38" i="1"/>
  <c r="AK74" i="1"/>
  <c r="AK28" i="1"/>
  <c r="AK29" i="1"/>
  <c r="AK53" i="1"/>
  <c r="AK46" i="1"/>
  <c r="AK71" i="1"/>
  <c r="AK23" i="1"/>
  <c r="AK43" i="1"/>
  <c r="AK49" i="1"/>
  <c r="AK54" i="1"/>
  <c r="AK73" i="1"/>
  <c r="CB1" i="1"/>
  <c r="AK47" i="1"/>
  <c r="AK40" i="1"/>
  <c r="AK22" i="1"/>
  <c r="AK34" i="1"/>
  <c r="AK24" i="1"/>
  <c r="AK72" i="1"/>
  <c r="AK64" i="1"/>
  <c r="AK21" i="1"/>
  <c r="AK18" i="1"/>
  <c r="AK76" i="1"/>
  <c r="AK55" i="1"/>
  <c r="AK57" i="1"/>
  <c r="AK48" i="1"/>
  <c r="DO1" i="1"/>
  <c r="AK60" i="1"/>
  <c r="AK65" i="1"/>
  <c r="AK77" i="1"/>
  <c r="AK80" i="1"/>
  <c r="AK50" i="1"/>
  <c r="AK63" i="1"/>
  <c r="AK58" i="1"/>
  <c r="CO1" i="1"/>
  <c r="AK19" i="1"/>
  <c r="AK26" i="1"/>
  <c r="AK51" i="1"/>
  <c r="AK35" i="1"/>
  <c r="AK12" i="1"/>
  <c r="AK61" i="1"/>
  <c r="AK39" i="1"/>
  <c r="AK42" i="1"/>
  <c r="AK56" i="1"/>
  <c r="AK20" i="1"/>
  <c r="AK79" i="1"/>
  <c r="AK68" i="1"/>
  <c r="AK41" i="1"/>
  <c r="AK62" i="1"/>
  <c r="DB1" i="1"/>
  <c r="AK25" i="1"/>
  <c r="AK59" i="1"/>
  <c r="AK69" i="1"/>
  <c r="H87" i="65"/>
  <c r="H86" i="65"/>
  <c r="H84" i="65"/>
  <c r="H85" i="65"/>
  <c r="H88" i="65"/>
  <c r="H83" i="65"/>
  <c r="A55" i="39"/>
  <c r="P55" i="39"/>
  <c r="Q55" i="39" s="1"/>
  <c r="W55" i="1" s="1"/>
  <c r="DK55" i="1" s="1"/>
  <c r="N55" i="39"/>
  <c r="U55" i="1" s="1"/>
  <c r="N57" i="39"/>
  <c r="O57" i="39" s="1"/>
  <c r="P57" i="39"/>
  <c r="Q57" i="39" s="1"/>
  <c r="W57" i="1" s="1"/>
  <c r="DK57" i="1" s="1"/>
  <c r="N23" i="39"/>
  <c r="U23" i="1" s="1"/>
  <c r="P23" i="39"/>
  <c r="Q23" i="39" s="1"/>
  <c r="W23" i="1" s="1"/>
  <c r="DK23" i="1" s="1"/>
  <c r="A23" i="39"/>
  <c r="N19" i="39"/>
  <c r="P19" i="39"/>
  <c r="Q19" i="39" s="1"/>
  <c r="W19" i="1" s="1"/>
  <c r="DK19" i="1" s="1"/>
  <c r="A51" i="39"/>
  <c r="P51" i="39"/>
  <c r="Q51" i="39" s="1"/>
  <c r="W51" i="1" s="1"/>
  <c r="DK51" i="1" s="1"/>
  <c r="O51" i="39"/>
  <c r="N51" i="39"/>
  <c r="U51" i="1" s="1"/>
  <c r="N41" i="39"/>
  <c r="P41" i="39"/>
  <c r="Q41" i="39" s="1"/>
  <c r="W41" i="1" s="1"/>
  <c r="DK41" i="1" s="1"/>
  <c r="EF41" i="1" s="1"/>
  <c r="BE41" i="1" s="1"/>
  <c r="BH41" i="1" s="1"/>
  <c r="A75" i="39"/>
  <c r="N75" i="39"/>
  <c r="P75" i="39"/>
  <c r="Q75" i="39" s="1"/>
  <c r="O75" i="39"/>
  <c r="P39" i="39"/>
  <c r="Q39" i="39" s="1"/>
  <c r="W39" i="1" s="1"/>
  <c r="DK39" i="1" s="1"/>
  <c r="A39" i="39"/>
  <c r="N39" i="39"/>
  <c r="A54" i="39"/>
  <c r="N13" i="39"/>
  <c r="P13" i="39"/>
  <c r="Q13" i="39" s="1"/>
  <c r="W13" i="1" s="1"/>
  <c r="DK13" i="1" s="1"/>
  <c r="A80" i="39"/>
  <c r="O80" i="39"/>
  <c r="P80" i="39"/>
  <c r="Q80" i="39" s="1"/>
  <c r="N80" i="39"/>
  <c r="N36" i="39"/>
  <c r="O36" i="39" s="1"/>
  <c r="P36" i="39"/>
  <c r="Q36" i="39" s="1"/>
  <c r="W36" i="1" s="1"/>
  <c r="DK36" i="1" s="1"/>
  <c r="A36" i="39"/>
  <c r="O64" i="39"/>
  <c r="N64" i="39"/>
  <c r="P64" i="39"/>
  <c r="Q64" i="39" s="1"/>
  <c r="N16" i="39"/>
  <c r="P16" i="39"/>
  <c r="Q16" i="39" s="1"/>
  <c r="W16" i="1" s="1"/>
  <c r="DK16" i="1" s="1"/>
  <c r="N52" i="39"/>
  <c r="U52" i="1" s="1"/>
  <c r="P52" i="39"/>
  <c r="Q52" i="39" s="1"/>
  <c r="W52" i="1" s="1"/>
  <c r="DK52" i="1" s="1"/>
  <c r="EF52" i="1" s="1"/>
  <c r="BE52" i="1" s="1"/>
  <c r="BH52" i="1" s="1"/>
  <c r="A52" i="39"/>
  <c r="N18" i="39"/>
  <c r="O18" i="39" s="1"/>
  <c r="P18" i="39"/>
  <c r="Q18" i="39" s="1"/>
  <c r="W18" i="1" s="1"/>
  <c r="DK18" i="1" s="1"/>
  <c r="N69" i="39"/>
  <c r="O69" i="39"/>
  <c r="P69" i="39"/>
  <c r="Q69" i="39" s="1"/>
  <c r="N66" i="39"/>
  <c r="P66" i="39"/>
  <c r="Q66" i="39" s="1"/>
  <c r="O66" i="39"/>
  <c r="P22" i="39"/>
  <c r="Q22" i="39" s="1"/>
  <c r="W22" i="1" s="1"/>
  <c r="DK22" i="1" s="1"/>
  <c r="N22" i="39"/>
  <c r="O78" i="39"/>
  <c r="N78" i="39"/>
  <c r="P78" i="39"/>
  <c r="Q78" i="39" s="1"/>
  <c r="A71" i="39"/>
  <c r="O71" i="39"/>
  <c r="P71" i="39"/>
  <c r="Q71" i="39" s="1"/>
  <c r="N71" i="39"/>
  <c r="O49" i="42"/>
  <c r="P49" i="42"/>
  <c r="Q49" i="42" s="1"/>
  <c r="N49" i="42"/>
  <c r="P67" i="42"/>
  <c r="Q67" i="42" s="1"/>
  <c r="N67" i="42"/>
  <c r="O67" i="42"/>
  <c r="P35" i="42"/>
  <c r="Q35" i="42" s="1"/>
  <c r="O35" i="42"/>
  <c r="N35" i="42"/>
  <c r="O28" i="42"/>
  <c r="P28" i="42"/>
  <c r="Q28" i="42" s="1"/>
  <c r="N28" i="42"/>
  <c r="N47" i="42"/>
  <c r="P47" i="42"/>
  <c r="Q47" i="42" s="1"/>
  <c r="O47" i="42"/>
  <c r="N44" i="42"/>
  <c r="O44" i="42"/>
  <c r="P44" i="42"/>
  <c r="Q44" i="42" s="1"/>
  <c r="N76" i="42"/>
  <c r="O76" i="42"/>
  <c r="P76" i="42"/>
  <c r="Q76" i="42" s="1"/>
  <c r="O12" i="42"/>
  <c r="P12" i="42"/>
  <c r="Q12" i="42" s="1"/>
  <c r="N12" i="42"/>
  <c r="N64" i="42"/>
  <c r="P64" i="42"/>
  <c r="Q64" i="42" s="1"/>
  <c r="O64" i="42"/>
  <c r="N29" i="42"/>
  <c r="P29" i="42"/>
  <c r="Q29" i="42" s="1"/>
  <c r="O29" i="42"/>
  <c r="N30" i="42"/>
  <c r="O30" i="42"/>
  <c r="P30" i="42"/>
  <c r="Q30" i="42" s="1"/>
  <c r="N63" i="42"/>
  <c r="P63" i="42"/>
  <c r="Q63" i="42" s="1"/>
  <c r="O63" i="42"/>
  <c r="P71" i="42"/>
  <c r="Q71" i="42" s="1"/>
  <c r="O71" i="42"/>
  <c r="N71" i="42"/>
  <c r="O68" i="42"/>
  <c r="P68" i="42"/>
  <c r="Q68" i="42" s="1"/>
  <c r="N68" i="42"/>
  <c r="N34" i="42"/>
  <c r="P34" i="42"/>
  <c r="Q34" i="42" s="1"/>
  <c r="O34" i="42"/>
  <c r="N36" i="42"/>
  <c r="O36" i="42"/>
  <c r="P36" i="42"/>
  <c r="Q36" i="42" s="1"/>
  <c r="N23" i="42"/>
  <c r="O23" i="42"/>
  <c r="P23" i="42"/>
  <c r="Q23" i="42" s="1"/>
  <c r="O19" i="42"/>
  <c r="N19" i="42"/>
  <c r="P19" i="42"/>
  <c r="Q19" i="42" s="1"/>
  <c r="N46" i="38"/>
  <c r="O46" i="38" s="1"/>
  <c r="P46" i="38"/>
  <c r="Q46" i="38" s="1"/>
  <c r="S46" i="1" s="1"/>
  <c r="DJ46" i="1" s="1"/>
  <c r="EF46" i="1" s="1"/>
  <c r="BE46" i="1" s="1"/>
  <c r="A26" i="38"/>
  <c r="N26" i="38"/>
  <c r="P26" i="38"/>
  <c r="Q26" i="38" s="1"/>
  <c r="S26" i="1" s="1"/>
  <c r="DJ26" i="1" s="1"/>
  <c r="EF26" i="1" s="1"/>
  <c r="BE26" i="1" s="1"/>
  <c r="BH26" i="1" s="1"/>
  <c r="A32" i="38"/>
  <c r="P12" i="38"/>
  <c r="Q12" i="38" s="1"/>
  <c r="S12" i="1" s="1"/>
  <c r="DJ12" i="1" s="1"/>
  <c r="EF12" i="1" s="1"/>
  <c r="BE12" i="1" s="1"/>
  <c r="BH12" i="1" s="1"/>
  <c r="N12" i="38"/>
  <c r="A12" i="38"/>
  <c r="O78" i="38"/>
  <c r="N78" i="38"/>
  <c r="P78" i="38"/>
  <c r="Q78" i="38" s="1"/>
  <c r="N21" i="38"/>
  <c r="P21" i="38"/>
  <c r="Q21" i="38" s="1"/>
  <c r="S21" i="1" s="1"/>
  <c r="DJ21" i="1" s="1"/>
  <c r="N34" i="38"/>
  <c r="O34" i="38" s="1"/>
  <c r="A34" i="38"/>
  <c r="P34" i="38"/>
  <c r="Q34" i="38" s="1"/>
  <c r="S34" i="1" s="1"/>
  <c r="DJ34" i="1" s="1"/>
  <c r="O70" i="38"/>
  <c r="N70" i="38"/>
  <c r="P70" i="38"/>
  <c r="Q70" i="38" s="1"/>
  <c r="N32" i="38"/>
  <c r="O32" i="38" s="1"/>
  <c r="P32" i="38"/>
  <c r="Q32" i="38" s="1"/>
  <c r="S32" i="1" s="1"/>
  <c r="DJ32" i="1" s="1"/>
  <c r="A75" i="38"/>
  <c r="N75" i="38"/>
  <c r="O75" i="38"/>
  <c r="P75" i="38"/>
  <c r="Q75" i="38" s="1"/>
  <c r="N60" i="38"/>
  <c r="O60" i="38" s="1"/>
  <c r="P60" i="38"/>
  <c r="Q60" i="38" s="1"/>
  <c r="S60" i="1" s="1"/>
  <c r="DJ60" i="1" s="1"/>
  <c r="EF60" i="1" s="1"/>
  <c r="BE60" i="1" s="1"/>
  <c r="BH60" i="1" s="1"/>
  <c r="N38" i="38"/>
  <c r="O38" i="38" s="1"/>
  <c r="P38" i="38"/>
  <c r="Q38" i="38" s="1"/>
  <c r="S38" i="1" s="1"/>
  <c r="DJ38" i="1" s="1"/>
  <c r="EF38" i="1" s="1"/>
  <c r="BE38" i="1" s="1"/>
  <c r="BH38" i="1" s="1"/>
  <c r="N49" i="38"/>
  <c r="O49" i="38" s="1"/>
  <c r="P49" i="38"/>
  <c r="Q49" i="38" s="1"/>
  <c r="S49" i="1" s="1"/>
  <c r="DJ49" i="1" s="1"/>
  <c r="EF49" i="1" s="1"/>
  <c r="BE49" i="1" s="1"/>
  <c r="BH49" i="1" s="1"/>
  <c r="N42" i="38"/>
  <c r="O42" i="38" s="1"/>
  <c r="P42" i="38"/>
  <c r="Q42" i="38" s="1"/>
  <c r="S42" i="1" s="1"/>
  <c r="DJ42" i="1" s="1"/>
  <c r="EF42" i="1" s="1"/>
  <c r="BE42" i="1" s="1"/>
  <c r="BH42" i="1" s="1"/>
  <c r="N19" i="38"/>
  <c r="O19" i="38" s="1"/>
  <c r="A19" i="38"/>
  <c r="P19" i="38"/>
  <c r="Q19" i="38" s="1"/>
  <c r="S19" i="1" s="1"/>
  <c r="DJ19" i="1" s="1"/>
  <c r="N23" i="38"/>
  <c r="O23" i="38" s="1"/>
  <c r="P23" i="38"/>
  <c r="Q23" i="38" s="1"/>
  <c r="S23" i="1" s="1"/>
  <c r="DJ23" i="1" s="1"/>
  <c r="A23" i="38"/>
  <c r="N48" i="38"/>
  <c r="O48" i="38" s="1"/>
  <c r="P48" i="38"/>
  <c r="Q48" i="38" s="1"/>
  <c r="S48" i="1" s="1"/>
  <c r="DJ48" i="1" s="1"/>
  <c r="EF48" i="1" s="1"/>
  <c r="BE48" i="1" s="1"/>
  <c r="BH48" i="1" s="1"/>
  <c r="A48" i="38"/>
  <c r="N45" i="38"/>
  <c r="O45" i="38" s="1"/>
  <c r="P45" i="38"/>
  <c r="Q45" i="38" s="1"/>
  <c r="S45" i="1" s="1"/>
  <c r="DJ45" i="1" s="1"/>
  <c r="EF45" i="1" s="1"/>
  <c r="BE45" i="1" s="1"/>
  <c r="N11" i="38"/>
  <c r="O11" i="38" s="1"/>
  <c r="P11" i="38"/>
  <c r="Q11" i="38" s="1"/>
  <c r="S11" i="1" s="1"/>
  <c r="DJ11" i="1" s="1"/>
  <c r="O36" i="55"/>
  <c r="A36" i="55"/>
  <c r="A22" i="55"/>
  <c r="O22" i="55"/>
  <c r="O41" i="55"/>
  <c r="A41" i="55"/>
  <c r="A30" i="55"/>
  <c r="O30" i="55"/>
  <c r="P30" i="55" s="1"/>
  <c r="A40" i="55"/>
  <c r="O40" i="55"/>
  <c r="O34" i="55"/>
  <c r="A34" i="55"/>
  <c r="O50" i="55"/>
  <c r="A50" i="55"/>
  <c r="A32" i="55"/>
  <c r="O32" i="55"/>
  <c r="P32" i="55" s="1"/>
  <c r="A28" i="55"/>
  <c r="O28" i="55"/>
  <c r="P61" i="55"/>
  <c r="O61" i="55"/>
  <c r="O69" i="55"/>
  <c r="P69" i="55"/>
  <c r="O37" i="55"/>
  <c r="A37" i="55"/>
  <c r="P71" i="55"/>
  <c r="O71" i="55"/>
  <c r="O27" i="55"/>
  <c r="P27" i="55" s="1"/>
  <c r="A27" i="55"/>
  <c r="A65" i="55"/>
  <c r="P65" i="55"/>
  <c r="O65" i="55"/>
  <c r="N61" i="41"/>
  <c r="O61" i="41"/>
  <c r="P61" i="41"/>
  <c r="Q61" i="41" s="1"/>
  <c r="N40" i="41"/>
  <c r="O40" i="41"/>
  <c r="P40" i="41"/>
  <c r="Q40" i="41" s="1"/>
  <c r="N53" i="41"/>
  <c r="O53" i="41"/>
  <c r="P53" i="41"/>
  <c r="Q53" i="41" s="1"/>
  <c r="O62" i="41"/>
  <c r="P62" i="41"/>
  <c r="Q62" i="41" s="1"/>
  <c r="N62" i="41"/>
  <c r="P50" i="41"/>
  <c r="Q50" i="41" s="1"/>
  <c r="O50" i="41"/>
  <c r="N50" i="41"/>
  <c r="P26" i="41"/>
  <c r="Q26" i="41" s="1"/>
  <c r="O26" i="41"/>
  <c r="N26" i="41"/>
  <c r="P21" i="41"/>
  <c r="Q21" i="41" s="1"/>
  <c r="H88" i="41"/>
  <c r="H86" i="41"/>
  <c r="N21" i="41"/>
  <c r="H87" i="41"/>
  <c r="H84" i="41"/>
  <c r="O21" i="41"/>
  <c r="H85" i="41"/>
  <c r="H83" i="41"/>
  <c r="P72" i="41"/>
  <c r="Q72" i="41" s="1"/>
  <c r="N72" i="41"/>
  <c r="O72" i="41"/>
  <c r="P31" i="41"/>
  <c r="Q31" i="41" s="1"/>
  <c r="O31" i="41"/>
  <c r="N31" i="41"/>
  <c r="O22" i="41"/>
  <c r="N22" i="41"/>
  <c r="P22" i="41"/>
  <c r="Q22" i="41" s="1"/>
  <c r="O23" i="41"/>
  <c r="P23" i="41"/>
  <c r="Q23" i="41" s="1"/>
  <c r="N23" i="41"/>
  <c r="O14" i="41"/>
  <c r="P14" i="41"/>
  <c r="Q14" i="41" s="1"/>
  <c r="N14" i="41"/>
  <c r="P74" i="41"/>
  <c r="Q74" i="41" s="1"/>
  <c r="O74" i="41"/>
  <c r="N74" i="41"/>
  <c r="O39" i="41"/>
  <c r="P39" i="41"/>
  <c r="Q39" i="41" s="1"/>
  <c r="N39" i="41"/>
  <c r="O55" i="41"/>
  <c r="P55" i="41"/>
  <c r="Q55" i="41" s="1"/>
  <c r="N55" i="41"/>
  <c r="N12" i="41"/>
  <c r="O12" i="41"/>
  <c r="P12" i="41"/>
  <c r="Q12" i="41" s="1"/>
  <c r="P30" i="41"/>
  <c r="Q30" i="41" s="1"/>
  <c r="O30" i="41"/>
  <c r="N30" i="41"/>
  <c r="P41" i="41"/>
  <c r="Q41" i="41" s="1"/>
  <c r="O41" i="41"/>
  <c r="N41" i="41"/>
  <c r="N67" i="41"/>
  <c r="P67" i="41"/>
  <c r="Q67" i="41" s="1"/>
  <c r="O67" i="41"/>
  <c r="A16" i="39"/>
  <c r="A36" i="40"/>
  <c r="A37" i="40"/>
  <c r="F82" i="41"/>
  <c r="A17" i="39"/>
  <c r="A27" i="39"/>
  <c r="A57" i="39"/>
  <c r="A41" i="39"/>
  <c r="Y21" i="1"/>
  <c r="U50" i="1"/>
  <c r="U33" i="1"/>
  <c r="I31" i="1"/>
  <c r="Q56" i="1"/>
  <c r="CJ56" i="1" s="1"/>
  <c r="CW56" i="1" s="1"/>
  <c r="O16" i="40"/>
  <c r="U38" i="1"/>
  <c r="Y53" i="1"/>
  <c r="K50" i="51" s="1"/>
  <c r="M51" i="1"/>
  <c r="A61" i="40"/>
  <c r="F82" i="65"/>
  <c r="A79" i="39"/>
  <c r="A13" i="39"/>
  <c r="A76" i="39"/>
  <c r="A11" i="39"/>
  <c r="A77" i="39"/>
  <c r="A14" i="39"/>
  <c r="A69" i="39"/>
  <c r="A80" i="40"/>
  <c r="A54" i="40"/>
  <c r="A35" i="40"/>
  <c r="A16" i="38"/>
  <c r="A29" i="38"/>
  <c r="A33" i="38"/>
  <c r="A60" i="38"/>
  <c r="A45" i="38"/>
  <c r="A17" i="38"/>
  <c r="A37" i="38"/>
  <c r="A67" i="38"/>
  <c r="A43" i="55"/>
  <c r="A44" i="55"/>
  <c r="A15" i="55"/>
  <c r="A56" i="55"/>
  <c r="A12" i="55"/>
  <c r="A23" i="55"/>
  <c r="A54" i="55"/>
  <c r="AW47" i="1"/>
  <c r="A20" i="55"/>
  <c r="A75" i="55"/>
  <c r="A66" i="55"/>
  <c r="A32" i="39"/>
  <c r="A19" i="39"/>
  <c r="A30" i="39"/>
  <c r="A42" i="39"/>
  <c r="A47" i="39"/>
  <c r="BA27" i="1"/>
  <c r="EE27" i="1" s="1"/>
  <c r="ER27" i="1" s="1"/>
  <c r="BA23" i="1"/>
  <c r="BA49" i="1"/>
  <c r="R46" i="51" s="1"/>
  <c r="BA37" i="1"/>
  <c r="P26" i="64"/>
  <c r="P24" i="64"/>
  <c r="P13" i="64"/>
  <c r="P50" i="64"/>
  <c r="BA21" i="1"/>
  <c r="CS21" i="1" s="1"/>
  <c r="DF21" i="1" s="1"/>
  <c r="ED52" i="1"/>
  <c r="EQ52" i="1" s="1"/>
  <c r="CE52" i="1"/>
  <c r="EC18" i="1"/>
  <c r="EP18" i="1" s="1"/>
  <c r="P15" i="51"/>
  <c r="CQ18" i="1"/>
  <c r="DD18" i="1" s="1"/>
  <c r="AS48" i="1"/>
  <c r="AS38" i="1"/>
  <c r="AS57" i="1"/>
  <c r="AS12" i="1"/>
  <c r="P9" i="51" s="1"/>
  <c r="P20" i="53"/>
  <c r="AS19" i="1"/>
  <c r="EC19" i="1" s="1"/>
  <c r="EP19" i="1" s="1"/>
  <c r="P41" i="53"/>
  <c r="P13" i="53"/>
  <c r="P18" i="53"/>
  <c r="P28" i="53"/>
  <c r="P55" i="53"/>
  <c r="AS16" i="1"/>
  <c r="CD16" i="1" s="1"/>
  <c r="AS35" i="1"/>
  <c r="AS36" i="1"/>
  <c r="EC78" i="1"/>
  <c r="EP78" i="1" s="1"/>
  <c r="P26" i="53"/>
  <c r="O33" i="37"/>
  <c r="O16" i="37"/>
  <c r="M25" i="1"/>
  <c r="O47" i="37"/>
  <c r="I25" i="1"/>
  <c r="G22" i="51" s="1"/>
  <c r="O22" i="36"/>
  <c r="EC41" i="1"/>
  <c r="EP41" i="1" s="1"/>
  <c r="CQ41" i="1"/>
  <c r="DD41" i="1" s="1"/>
  <c r="CD41" i="1"/>
  <c r="P38" i="51"/>
  <c r="CQ39" i="1"/>
  <c r="DD39" i="1" s="1"/>
  <c r="CD39" i="1"/>
  <c r="EC39" i="1"/>
  <c r="EP39" i="1" s="1"/>
  <c r="P36" i="51"/>
  <c r="H44" i="51"/>
  <c r="CI47" i="1"/>
  <c r="CV47" i="1" s="1"/>
  <c r="CI40" i="1"/>
  <c r="CV40" i="1" s="1"/>
  <c r="H37" i="51"/>
  <c r="CI24" i="1"/>
  <c r="CV24" i="1" s="1"/>
  <c r="H21" i="51"/>
  <c r="G43" i="51"/>
  <c r="CH46" i="1"/>
  <c r="CI31" i="1"/>
  <c r="CV31" i="1" s="1"/>
  <c r="H28" i="51"/>
  <c r="H41" i="51"/>
  <c r="CI44" i="1"/>
  <c r="CV44" i="1" s="1"/>
  <c r="CI55" i="1"/>
  <c r="CV55" i="1" s="1"/>
  <c r="H52" i="51"/>
  <c r="CI23" i="1"/>
  <c r="CV23" i="1" s="1"/>
  <c r="H20" i="51"/>
  <c r="H43" i="51"/>
  <c r="CI46" i="1"/>
  <c r="CV46" i="1" s="1"/>
  <c r="CH22" i="1"/>
  <c r="G19" i="51"/>
  <c r="CI12" i="1"/>
  <c r="CV12" i="1" s="1"/>
  <c r="H9" i="51"/>
  <c r="EC29" i="1"/>
  <c r="EP29" i="1" s="1"/>
  <c r="CQ29" i="1"/>
  <c r="DD29" i="1" s="1"/>
  <c r="P26" i="51"/>
  <c r="CD29" i="1"/>
  <c r="CI57" i="1"/>
  <c r="CV57" i="1" s="1"/>
  <c r="H54" i="51"/>
  <c r="P21" i="51"/>
  <c r="EC24" i="1"/>
  <c r="EP24" i="1" s="1"/>
  <c r="CQ24" i="1"/>
  <c r="DD24" i="1" s="1"/>
  <c r="CD24" i="1"/>
  <c r="CD50" i="1"/>
  <c r="P47" i="51"/>
  <c r="CQ50" i="1"/>
  <c r="DD50" i="1" s="1"/>
  <c r="EC50" i="1"/>
  <c r="EP50" i="1" s="1"/>
  <c r="H30" i="51"/>
  <c r="CI33" i="1"/>
  <c r="CV33" i="1" s="1"/>
  <c r="H10" i="51"/>
  <c r="CI13" i="1"/>
  <c r="CV13" i="1" s="1"/>
  <c r="P14" i="51"/>
  <c r="EC17" i="1"/>
  <c r="EP17" i="1" s="1"/>
  <c r="CD17" i="1"/>
  <c r="CQ17" i="1"/>
  <c r="DD17" i="1" s="1"/>
  <c r="G35" i="51"/>
  <c r="CH38" i="1"/>
  <c r="EF13" i="1"/>
  <c r="BE13" i="1" s="1"/>
  <c r="BH13" i="1" s="1"/>
  <c r="ED16" i="1"/>
  <c r="EQ16" i="1" s="1"/>
  <c r="Q13" i="51"/>
  <c r="CE16" i="1"/>
  <c r="CR16" i="1"/>
  <c r="DE16" i="1" s="1"/>
  <c r="CI68" i="1"/>
  <c r="CV68" i="1" s="1"/>
  <c r="H65" i="51"/>
  <c r="BV30" i="1"/>
  <c r="H35" i="51"/>
  <c r="CI38" i="1"/>
  <c r="CV38" i="1" s="1"/>
  <c r="CH65" i="1"/>
  <c r="CU65" i="1" s="1"/>
  <c r="G62" i="51"/>
  <c r="BU73" i="1"/>
  <c r="DT73" i="1"/>
  <c r="EG73" i="1" s="1"/>
  <c r="G41" i="51"/>
  <c r="CH44" i="1"/>
  <c r="G21" i="51"/>
  <c r="CH24" i="1"/>
  <c r="CH35" i="1"/>
  <c r="G32" i="51"/>
  <c r="CH55" i="1"/>
  <c r="G52" i="51"/>
  <c r="BU47" i="1"/>
  <c r="DT47" i="1"/>
  <c r="EG47" i="1" s="1"/>
  <c r="DT30" i="1"/>
  <c r="EG30" i="1" s="1"/>
  <c r="BU30" i="1"/>
  <c r="BU75" i="1"/>
  <c r="DT75" i="1"/>
  <c r="EG75" i="1" s="1"/>
  <c r="BU53" i="1"/>
  <c r="DT72" i="1"/>
  <c r="EG72" i="1" s="1"/>
  <c r="BU72" i="1"/>
  <c r="BU78" i="1"/>
  <c r="DT78" i="1"/>
  <c r="EG78" i="1" s="1"/>
  <c r="BU55" i="1"/>
  <c r="DT55" i="1"/>
  <c r="EG55" i="1" s="1"/>
  <c r="BU39" i="1"/>
  <c r="DT39" i="1"/>
  <c r="EG39" i="1" s="1"/>
  <c r="BU17" i="1"/>
  <c r="DT17" i="1"/>
  <c r="EG17" i="1" s="1"/>
  <c r="DT23" i="1"/>
  <c r="EG23" i="1" s="1"/>
  <c r="BU23" i="1"/>
  <c r="G12" i="51"/>
  <c r="CH15" i="1"/>
  <c r="G23" i="51"/>
  <c r="CH26" i="1"/>
  <c r="BU68" i="1"/>
  <c r="DT68" i="1"/>
  <c r="EG68" i="1" s="1"/>
  <c r="DT77" i="1"/>
  <c r="EG77" i="1" s="1"/>
  <c r="G74" i="51"/>
  <c r="CH77" i="1"/>
  <c r="CU77" i="1" s="1"/>
  <c r="G13" i="51"/>
  <c r="CH16" i="1"/>
  <c r="G49" i="51"/>
  <c r="CH52" i="1"/>
  <c r="G46" i="51"/>
  <c r="CH49" i="1"/>
  <c r="DT45" i="1"/>
  <c r="EG45" i="1" s="1"/>
  <c r="BU45" i="1"/>
  <c r="G10" i="51"/>
  <c r="CH13" i="1"/>
  <c r="G24" i="51"/>
  <c r="CH27" i="1"/>
  <c r="CH74" i="1"/>
  <c r="CU74" i="1" s="1"/>
  <c r="G71" i="51"/>
  <c r="DT42" i="1"/>
  <c r="EG42" i="1" s="1"/>
  <c r="BU42" i="1"/>
  <c r="G54" i="51"/>
  <c r="CH57" i="1"/>
  <c r="CH21" i="1"/>
  <c r="G18" i="51"/>
  <c r="CH33" i="1"/>
  <c r="G30" i="51"/>
  <c r="CH36" i="1"/>
  <c r="G33" i="51"/>
  <c r="DT69" i="1"/>
  <c r="EG69" i="1" s="1"/>
  <c r="BU69" i="1"/>
  <c r="CH78" i="1"/>
  <c r="CU78" i="1" s="1"/>
  <c r="G75" i="51"/>
  <c r="BU79" i="1"/>
  <c r="DT79" i="1"/>
  <c r="EG79" i="1" s="1"/>
  <c r="CH73" i="1"/>
  <c r="CU73" i="1" s="1"/>
  <c r="G70" i="51"/>
  <c r="DT26" i="1"/>
  <c r="EG26" i="1" s="1"/>
  <c r="BU26" i="1"/>
  <c r="DT49" i="1"/>
  <c r="EG49" i="1" s="1"/>
  <c r="BU49" i="1"/>
  <c r="CH20" i="1"/>
  <c r="G17" i="51"/>
  <c r="BU63" i="1"/>
  <c r="DT63" i="1"/>
  <c r="EG63" i="1" s="1"/>
  <c r="CE54" i="1"/>
  <c r="H31" i="51"/>
  <c r="CI34" i="1"/>
  <c r="CV34" i="1" s="1"/>
  <c r="BV11" i="1"/>
  <c r="DU11" i="1"/>
  <c r="EH11" i="1" s="1"/>
  <c r="H47" i="51"/>
  <c r="CI50" i="1"/>
  <c r="CV50" i="1" s="1"/>
  <c r="DU77" i="1"/>
  <c r="EH77" i="1" s="1"/>
  <c r="BV77" i="1"/>
  <c r="BV35" i="1"/>
  <c r="DU35" i="1"/>
  <c r="EH35" i="1" s="1"/>
  <c r="BV59" i="1"/>
  <c r="CI76" i="1"/>
  <c r="CV76" i="1" s="1"/>
  <c r="H73" i="51"/>
  <c r="BV53" i="1"/>
  <c r="DU53" i="1"/>
  <c r="EH53" i="1" s="1"/>
  <c r="H74" i="51"/>
  <c r="CI77" i="1"/>
  <c r="CV77" i="1" s="1"/>
  <c r="H46" i="51"/>
  <c r="CI49" i="1"/>
  <c r="CV49" i="1" s="1"/>
  <c r="BV80" i="1"/>
  <c r="DU80" i="1"/>
  <c r="EH80" i="1" s="1"/>
  <c r="BV27" i="1"/>
  <c r="BV15" i="1"/>
  <c r="DU15" i="1"/>
  <c r="EH15" i="1" s="1"/>
  <c r="CI61" i="1"/>
  <c r="CV61" i="1" s="1"/>
  <c r="H58" i="51"/>
  <c r="CI48" i="1"/>
  <c r="CV48" i="1" s="1"/>
  <c r="H45" i="51"/>
  <c r="CI64" i="1"/>
  <c r="CV64" i="1" s="1"/>
  <c r="H61" i="51"/>
  <c r="DU70" i="1"/>
  <c r="EH70" i="1" s="1"/>
  <c r="BV70" i="1"/>
  <c r="DU56" i="1"/>
  <c r="EH56" i="1" s="1"/>
  <c r="BV56" i="1"/>
  <c r="H11" i="51"/>
  <c r="CI14" i="1"/>
  <c r="CV14" i="1" s="1"/>
  <c r="H69" i="51"/>
  <c r="CI72" i="1"/>
  <c r="CV72" i="1" s="1"/>
  <c r="BV34" i="1"/>
  <c r="DU34" i="1"/>
  <c r="EH34" i="1" s="1"/>
  <c r="BV65" i="1"/>
  <c r="DU65" i="1"/>
  <c r="EH65" i="1" s="1"/>
  <c r="H70" i="51"/>
  <c r="CI73" i="1"/>
  <c r="CV73" i="1" s="1"/>
  <c r="CI35" i="1"/>
  <c r="CV35" i="1" s="1"/>
  <c r="H32" i="51"/>
  <c r="DU57" i="1"/>
  <c r="EH57" i="1" s="1"/>
  <c r="BV57" i="1"/>
  <c r="BV50" i="1"/>
  <c r="DU50" i="1"/>
  <c r="EH50" i="1" s="1"/>
  <c r="BV24" i="1"/>
  <c r="DU24" i="1"/>
  <c r="EH24" i="1" s="1"/>
  <c r="BV37" i="1"/>
  <c r="DU37" i="1"/>
  <c r="EH37" i="1" s="1"/>
  <c r="BV61" i="1"/>
  <c r="DU61" i="1"/>
  <c r="EH61" i="1" s="1"/>
  <c r="M26" i="1"/>
  <c r="DU26" i="1" s="1"/>
  <c r="EH26" i="1" s="1"/>
  <c r="AS45" i="1"/>
  <c r="P42" i="51" s="1"/>
  <c r="P56" i="53"/>
  <c r="P40" i="64"/>
  <c r="P12" i="64"/>
  <c r="P53" i="64"/>
  <c r="P28" i="64"/>
  <c r="P31" i="53"/>
  <c r="CQ48" i="1"/>
  <c r="DD48" i="1" s="1"/>
  <c r="CQ78" i="1"/>
  <c r="DD78" i="1" s="1"/>
  <c r="P60" i="64"/>
  <c r="AS37" i="1"/>
  <c r="BA48" i="1"/>
  <c r="BA32" i="1"/>
  <c r="CF32" i="1" s="1"/>
  <c r="BA41" i="1"/>
  <c r="EE41" i="1" s="1"/>
  <c r="ER41" i="1" s="1"/>
  <c r="P43" i="64"/>
  <c r="P49" i="53"/>
  <c r="CQ57" i="1"/>
  <c r="DD57" i="1" s="1"/>
  <c r="CD18" i="1"/>
  <c r="CQ64" i="1"/>
  <c r="DD64" i="1" s="1"/>
  <c r="AS58" i="1"/>
  <c r="CQ58" i="1" s="1"/>
  <c r="DD58" i="1" s="1"/>
  <c r="P27" i="53"/>
  <c r="P59" i="53"/>
  <c r="P44" i="64"/>
  <c r="P39" i="64"/>
  <c r="P42" i="64"/>
  <c r="P57" i="64"/>
  <c r="P29" i="53"/>
  <c r="P50" i="53"/>
  <c r="O44" i="37"/>
  <c r="O40" i="37"/>
  <c r="O13" i="37"/>
  <c r="P17" i="53"/>
  <c r="O12" i="37"/>
  <c r="M59" i="1"/>
  <c r="DU59" i="1" s="1"/>
  <c r="O38" i="36"/>
  <c r="O46" i="36"/>
  <c r="K86" i="37"/>
  <c r="CH18" i="1"/>
  <c r="G15" i="51"/>
  <c r="BU33" i="1"/>
  <c r="DT33" i="1"/>
  <c r="EG33" i="1" s="1"/>
  <c r="G51" i="51"/>
  <c r="CH54" i="1"/>
  <c r="CH60" i="1"/>
  <c r="G57" i="51"/>
  <c r="CH48" i="1"/>
  <c r="G45" i="51"/>
  <c r="BU43" i="1"/>
  <c r="DT43" i="1"/>
  <c r="EG43" i="1" s="1"/>
  <c r="G68" i="51"/>
  <c r="CH71" i="1"/>
  <c r="CU71" i="1" s="1"/>
  <c r="G64" i="51"/>
  <c r="CH67" i="1"/>
  <c r="CU67" i="1" s="1"/>
  <c r="G77" i="51"/>
  <c r="CH80" i="1"/>
  <c r="CU80" i="1" s="1"/>
  <c r="G58" i="51"/>
  <c r="CH61" i="1"/>
  <c r="CU61" i="1" s="1"/>
  <c r="BU34" i="1"/>
  <c r="DT34" i="1"/>
  <c r="EG34" i="1" s="1"/>
  <c r="CH63" i="1"/>
  <c r="CU63" i="1" s="1"/>
  <c r="G60" i="51"/>
  <c r="CH59" i="1"/>
  <c r="G56" i="51"/>
  <c r="DT62" i="1"/>
  <c r="EG62" i="1" s="1"/>
  <c r="BU62" i="1"/>
  <c r="BU24" i="1"/>
  <c r="DT24" i="1"/>
  <c r="EG24" i="1" s="1"/>
  <c r="BU29" i="1"/>
  <c r="DT29" i="1"/>
  <c r="EG29" i="1" s="1"/>
  <c r="DT67" i="1"/>
  <c r="EG67" i="1" s="1"/>
  <c r="BU67" i="1"/>
  <c r="BV21" i="1"/>
  <c r="DU21" i="1"/>
  <c r="EH21" i="1" s="1"/>
  <c r="BV13" i="1"/>
  <c r="DU13" i="1"/>
  <c r="EH13" i="1" s="1"/>
  <c r="H63" i="51"/>
  <c r="CI66" i="1"/>
  <c r="CV66" i="1" s="1"/>
  <c r="H64" i="51"/>
  <c r="CI67" i="1"/>
  <c r="CV67" i="1" s="1"/>
  <c r="DU66" i="1"/>
  <c r="EH66" i="1" s="1"/>
  <c r="BV66" i="1"/>
  <c r="CI16" i="1"/>
  <c r="CV16" i="1" s="1"/>
  <c r="H13" i="51"/>
  <c r="H77" i="51"/>
  <c r="CI80" i="1"/>
  <c r="CV80" i="1" s="1"/>
  <c r="BV31" i="1"/>
  <c r="DU31" i="1"/>
  <c r="EH31" i="1" s="1"/>
  <c r="CI42" i="1"/>
  <c r="CV42" i="1" s="1"/>
  <c r="H39" i="51"/>
  <c r="H51" i="51"/>
  <c r="DU46" i="1"/>
  <c r="EH46" i="1" s="1"/>
  <c r="BV46" i="1"/>
  <c r="H75" i="51"/>
  <c r="CI78" i="1"/>
  <c r="CV78" i="1" s="1"/>
  <c r="CI51" i="1"/>
  <c r="CV51" i="1" s="1"/>
  <c r="H48" i="51"/>
  <c r="BV32" i="1"/>
  <c r="BV19" i="1"/>
  <c r="DU19" i="1"/>
  <c r="EH19" i="1" s="1"/>
  <c r="AS15" i="1"/>
  <c r="EC15" i="1" s="1"/>
  <c r="P54" i="51"/>
  <c r="F82" i="36"/>
  <c r="K18" i="51"/>
  <c r="CL21" i="1"/>
  <c r="CY21" i="1" s="1"/>
  <c r="BU28" i="1"/>
  <c r="DT28" i="1"/>
  <c r="EG28" i="1" s="1"/>
  <c r="BU37" i="1"/>
  <c r="DT37" i="1"/>
  <c r="EG37" i="1" s="1"/>
  <c r="CH17" i="1"/>
  <c r="G14" i="51"/>
  <c r="DT64" i="1"/>
  <c r="EG64" i="1" s="1"/>
  <c r="BU64" i="1"/>
  <c r="BU41" i="1"/>
  <c r="DT41" i="1"/>
  <c r="EG41" i="1" s="1"/>
  <c r="G47" i="51"/>
  <c r="CH50" i="1"/>
  <c r="BU14" i="1"/>
  <c r="DT14" i="1"/>
  <c r="EG14" i="1" s="1"/>
  <c r="BU61" i="1"/>
  <c r="DT61" i="1"/>
  <c r="EG61" i="1" s="1"/>
  <c r="BU22" i="1"/>
  <c r="DT22" i="1"/>
  <c r="EG22" i="1" s="1"/>
  <c r="CH34" i="1"/>
  <c r="G31" i="51"/>
  <c r="CH37" i="1"/>
  <c r="G34" i="51"/>
  <c r="G8" i="51"/>
  <c r="CH11" i="1"/>
  <c r="CH14" i="1"/>
  <c r="G11" i="51"/>
  <c r="DT38" i="1"/>
  <c r="EG38" i="1" s="1"/>
  <c r="BU38" i="1"/>
  <c r="CH64" i="1"/>
  <c r="CU64" i="1" s="1"/>
  <c r="G61" i="51"/>
  <c r="ED25" i="1"/>
  <c r="EQ25" i="1" s="1"/>
  <c r="BV68" i="1"/>
  <c r="DU68" i="1"/>
  <c r="EH68" i="1" s="1"/>
  <c r="CI29" i="1"/>
  <c r="CV29" i="1" s="1"/>
  <c r="H26" i="51"/>
  <c r="CI62" i="1"/>
  <c r="CV62" i="1" s="1"/>
  <c r="H59" i="51"/>
  <c r="BV18" i="1"/>
  <c r="DU18" i="1"/>
  <c r="EH18" i="1" s="1"/>
  <c r="DU33" i="1"/>
  <c r="EH33" i="1" s="1"/>
  <c r="BV33" i="1"/>
  <c r="CI56" i="1"/>
  <c r="CV56" i="1" s="1"/>
  <c r="H53" i="51"/>
  <c r="DU78" i="1"/>
  <c r="EH78" i="1" s="1"/>
  <c r="BV78" i="1"/>
  <c r="BV52" i="1"/>
  <c r="DU44" i="1"/>
  <c r="EH44" i="1" s="1"/>
  <c r="BV44" i="1"/>
  <c r="H60" i="51"/>
  <c r="CI63" i="1"/>
  <c r="CV63" i="1" s="1"/>
  <c r="CI65" i="1"/>
  <c r="CV65" i="1" s="1"/>
  <c r="H62" i="51"/>
  <c r="DU29" i="1"/>
  <c r="EH29" i="1" s="1"/>
  <c r="BV29" i="1"/>
  <c r="DU48" i="1"/>
  <c r="EH48" i="1" s="1"/>
  <c r="BV48" i="1"/>
  <c r="BV17" i="1"/>
  <c r="BV16" i="1"/>
  <c r="DU16" i="1"/>
  <c r="EH16" i="1" s="1"/>
  <c r="ED24" i="1"/>
  <c r="EQ24" i="1" s="1"/>
  <c r="DT65" i="1"/>
  <c r="EG65" i="1" s="1"/>
  <c r="BU65" i="1"/>
  <c r="DT12" i="1"/>
  <c r="EG12" i="1" s="1"/>
  <c r="BU12" i="1"/>
  <c r="BU44" i="1"/>
  <c r="DT44" i="1"/>
  <c r="EG44" i="1" s="1"/>
  <c r="BU36" i="1"/>
  <c r="DT36" i="1"/>
  <c r="EG36" i="1" s="1"/>
  <c r="DT40" i="1"/>
  <c r="EG40" i="1" s="1"/>
  <c r="BU40" i="1"/>
  <c r="BU74" i="1"/>
  <c r="DT74" i="1"/>
  <c r="EG74" i="1" s="1"/>
  <c r="DT16" i="1"/>
  <c r="EG16" i="1" s="1"/>
  <c r="BU16" i="1"/>
  <c r="DT50" i="1"/>
  <c r="EG50" i="1" s="1"/>
  <c r="BU50" i="1"/>
  <c r="G42" i="51"/>
  <c r="CH45" i="1"/>
  <c r="BU70" i="1"/>
  <c r="DT70" i="1"/>
  <c r="EG70" i="1" s="1"/>
  <c r="G73" i="51"/>
  <c r="CH76" i="1"/>
  <c r="CU76" i="1" s="1"/>
  <c r="DT76" i="1"/>
  <c r="EG76" i="1" s="1"/>
  <c r="BU76" i="1"/>
  <c r="DT48" i="1"/>
  <c r="EG48" i="1" s="1"/>
  <c r="BU48" i="1"/>
  <c r="CH69" i="1"/>
  <c r="CU69" i="1" s="1"/>
  <c r="G66" i="51"/>
  <c r="G26" i="51"/>
  <c r="CH29" i="1"/>
  <c r="G63" i="51"/>
  <c r="CH66" i="1"/>
  <c r="CU66" i="1" s="1"/>
  <c r="BU46" i="1"/>
  <c r="DT46" i="1"/>
  <c r="EG46" i="1" s="1"/>
  <c r="BU20" i="1"/>
  <c r="DT20" i="1"/>
  <c r="EG20" i="1" s="1"/>
  <c r="DT13" i="1"/>
  <c r="EG13" i="1" s="1"/>
  <c r="BU13" i="1"/>
  <c r="DT52" i="1"/>
  <c r="EG52" i="1" s="1"/>
  <c r="BU52" i="1"/>
  <c r="BU59" i="1"/>
  <c r="DT59" i="1"/>
  <c r="EG59" i="1" s="1"/>
  <c r="DT54" i="1"/>
  <c r="EG54" i="1" s="1"/>
  <c r="BU54" i="1"/>
  <c r="CH19" i="1"/>
  <c r="G16" i="51"/>
  <c r="G40" i="51"/>
  <c r="CH43" i="1"/>
  <c r="BU21" i="1"/>
  <c r="DT21" i="1"/>
  <c r="EG21" i="1" s="1"/>
  <c r="G48" i="51"/>
  <c r="CH51" i="1"/>
  <c r="DT19" i="1"/>
  <c r="EG19" i="1" s="1"/>
  <c r="BU19" i="1"/>
  <c r="G76" i="51"/>
  <c r="CH79" i="1"/>
  <c r="CU79" i="1" s="1"/>
  <c r="DT25" i="1"/>
  <c r="EG25" i="1" s="1"/>
  <c r="BU25" i="1"/>
  <c r="CH12" i="1"/>
  <c r="G9" i="51"/>
  <c r="CH62" i="1"/>
  <c r="CU62" i="1" s="1"/>
  <c r="G59" i="51"/>
  <c r="Q40" i="51"/>
  <c r="CR43" i="1"/>
  <c r="DE43" i="1" s="1"/>
  <c r="CE43" i="1"/>
  <c r="ED43" i="1"/>
  <c r="EQ43" i="1" s="1"/>
  <c r="CI28" i="1"/>
  <c r="CV28" i="1" s="1"/>
  <c r="H25" i="51"/>
  <c r="BV43" i="1"/>
  <c r="CI69" i="1"/>
  <c r="CV69" i="1" s="1"/>
  <c r="H66" i="51"/>
  <c r="DU60" i="1"/>
  <c r="EH60" i="1" s="1"/>
  <c r="BV60" i="1"/>
  <c r="H42" i="51"/>
  <c r="CI45" i="1"/>
  <c r="CV45" i="1" s="1"/>
  <c r="DU55" i="1"/>
  <c r="EH55" i="1" s="1"/>
  <c r="BV55" i="1"/>
  <c r="H16" i="51"/>
  <c r="CI19" i="1"/>
  <c r="CV19" i="1" s="1"/>
  <c r="H15" i="51"/>
  <c r="CI18" i="1"/>
  <c r="CV18" i="1" s="1"/>
  <c r="DU75" i="1"/>
  <c r="EH75" i="1" s="1"/>
  <c r="BV75" i="1"/>
  <c r="BV28" i="1"/>
  <c r="DU28" i="1"/>
  <c r="EH28" i="1" s="1"/>
  <c r="BV69" i="1"/>
  <c r="DU69" i="1"/>
  <c r="EH69" i="1" s="1"/>
  <c r="CI15" i="1"/>
  <c r="CV15" i="1" s="1"/>
  <c r="H12" i="51"/>
  <c r="BV79" i="1"/>
  <c r="DU79" i="1"/>
  <c r="EH79" i="1" s="1"/>
  <c r="DU49" i="1"/>
  <c r="EH49" i="1" s="1"/>
  <c r="BV49" i="1"/>
  <c r="DU41" i="1"/>
  <c r="EH41" i="1" s="1"/>
  <c r="BV41" i="1"/>
  <c r="H67" i="51"/>
  <c r="CI70" i="1"/>
  <c r="CV70" i="1" s="1"/>
  <c r="CI79" i="1"/>
  <c r="CV79" i="1" s="1"/>
  <c r="H76" i="51"/>
  <c r="BV58" i="1"/>
  <c r="DU58" i="1"/>
  <c r="EH58" i="1" s="1"/>
  <c r="BV54" i="1"/>
  <c r="BV45" i="1"/>
  <c r="DU45" i="1"/>
  <c r="EH45" i="1" s="1"/>
  <c r="BV36" i="1"/>
  <c r="BV51" i="1"/>
  <c r="DU51" i="1"/>
  <c r="EH51" i="1" s="1"/>
  <c r="DU12" i="1"/>
  <c r="EH12" i="1" s="1"/>
  <c r="BV12" i="1"/>
  <c r="H55" i="51"/>
  <c r="CI58" i="1"/>
  <c r="CV58" i="1" s="1"/>
  <c r="H72" i="51"/>
  <c r="CI75" i="1"/>
  <c r="CV75" i="1" s="1"/>
  <c r="BV25" i="1"/>
  <c r="BV63" i="1"/>
  <c r="DU63" i="1"/>
  <c r="EH63" i="1" s="1"/>
  <c r="DU47" i="1"/>
  <c r="EH47" i="1" s="1"/>
  <c r="BV47" i="1"/>
  <c r="BV26" i="1"/>
  <c r="K86" i="36"/>
  <c r="K83" i="36"/>
  <c r="BA35" i="1"/>
  <c r="EE35" i="1" s="1"/>
  <c r="ER35" i="1" s="1"/>
  <c r="BA14" i="1"/>
  <c r="CF14" i="1" s="1"/>
  <c r="AS34" i="1"/>
  <c r="CQ34" i="1" s="1"/>
  <c r="DD34" i="1" s="1"/>
  <c r="P54" i="64"/>
  <c r="P25" i="64"/>
  <c r="AS54" i="1"/>
  <c r="CD54" i="1" s="1"/>
  <c r="BA51" i="1"/>
  <c r="CS51" i="1" s="1"/>
  <c r="DF51" i="1" s="1"/>
  <c r="P24" i="53"/>
  <c r="P39" i="53"/>
  <c r="F82" i="37"/>
  <c r="O55" i="37"/>
  <c r="O24" i="37"/>
  <c r="I53" i="1"/>
  <c r="O31" i="37"/>
  <c r="CH41" i="1"/>
  <c r="G38" i="51"/>
  <c r="DT58" i="1"/>
  <c r="EG58" i="1" s="1"/>
  <c r="BU58" i="1"/>
  <c r="CH30" i="1"/>
  <c r="G27" i="51"/>
  <c r="G39" i="51"/>
  <c r="CH42" i="1"/>
  <c r="BU80" i="1"/>
  <c r="DT80" i="1"/>
  <c r="EG80" i="1" s="1"/>
  <c r="G25" i="51"/>
  <c r="CH28" i="1"/>
  <c r="BU66" i="1"/>
  <c r="DT66" i="1"/>
  <c r="EG66" i="1" s="1"/>
  <c r="G20" i="51"/>
  <c r="CH23" i="1"/>
  <c r="G65" i="51"/>
  <c r="CH68" i="1"/>
  <c r="CU68" i="1" s="1"/>
  <c r="DT18" i="1"/>
  <c r="EG18" i="1" s="1"/>
  <c r="BU18" i="1"/>
  <c r="BU31" i="1"/>
  <c r="DT57" i="1"/>
  <c r="EG57" i="1" s="1"/>
  <c r="BU57" i="1"/>
  <c r="CH72" i="1"/>
  <c r="CU72" i="1" s="1"/>
  <c r="G69" i="51"/>
  <c r="DT32" i="1"/>
  <c r="EG32" i="1" s="1"/>
  <c r="BU32" i="1"/>
  <c r="DT35" i="1"/>
  <c r="EG35" i="1" s="1"/>
  <c r="BU35" i="1"/>
  <c r="DT11" i="1"/>
  <c r="EG11" i="1" s="1"/>
  <c r="BU11" i="1"/>
  <c r="CH39" i="1"/>
  <c r="G36" i="51"/>
  <c r="DT71" i="1"/>
  <c r="EG71" i="1" s="1"/>
  <c r="BU71" i="1"/>
  <c r="G72" i="51"/>
  <c r="CH75" i="1"/>
  <c r="CU75" i="1" s="1"/>
  <c r="CH56" i="1"/>
  <c r="G53" i="51"/>
  <c r="BU60" i="1"/>
  <c r="DT60" i="1"/>
  <c r="EG60" i="1" s="1"/>
  <c r="CH47" i="1"/>
  <c r="G44" i="51"/>
  <c r="G55" i="51"/>
  <c r="CH58" i="1"/>
  <c r="G67" i="51"/>
  <c r="CH70" i="1"/>
  <c r="CU70" i="1" s="1"/>
  <c r="CH32" i="1"/>
  <c r="G29" i="51"/>
  <c r="BU15" i="1"/>
  <c r="DT15" i="1"/>
  <c r="EG15" i="1" s="1"/>
  <c r="BU56" i="1"/>
  <c r="DT56" i="1"/>
  <c r="EG56" i="1" s="1"/>
  <c r="DT51" i="1"/>
  <c r="EG51" i="1" s="1"/>
  <c r="BU51" i="1"/>
  <c r="DT27" i="1"/>
  <c r="EG27" i="1" s="1"/>
  <c r="BU27" i="1"/>
  <c r="G37" i="51"/>
  <c r="CH40" i="1"/>
  <c r="DU14" i="1"/>
  <c r="EH14" i="1" s="1"/>
  <c r="BV14" i="1"/>
  <c r="H18" i="51"/>
  <c r="CI21" i="1"/>
  <c r="CV21" i="1" s="1"/>
  <c r="BV74" i="1"/>
  <c r="DU74" i="1"/>
  <c r="EH74" i="1" s="1"/>
  <c r="H68" i="51"/>
  <c r="CI71" i="1"/>
  <c r="CV71" i="1" s="1"/>
  <c r="H38" i="51"/>
  <c r="CI41" i="1"/>
  <c r="CV41" i="1" s="1"/>
  <c r="BV39" i="1"/>
  <c r="CI53" i="1"/>
  <c r="CV53" i="1" s="1"/>
  <c r="H50" i="51"/>
  <c r="BV76" i="1"/>
  <c r="DU76" i="1"/>
  <c r="EH76" i="1" s="1"/>
  <c r="BV23" i="1"/>
  <c r="DU23" i="1"/>
  <c r="EH23" i="1" s="1"/>
  <c r="BV42" i="1"/>
  <c r="DU42" i="1"/>
  <c r="EH42" i="1" s="1"/>
  <c r="BV40" i="1"/>
  <c r="DU40" i="1"/>
  <c r="EH40" i="1" s="1"/>
  <c r="CI11" i="1"/>
  <c r="CV11" i="1" s="1"/>
  <c r="H8" i="51"/>
  <c r="DU73" i="1"/>
  <c r="EH73" i="1" s="1"/>
  <c r="BV73" i="1"/>
  <c r="DU67" i="1"/>
  <c r="EH67" i="1" s="1"/>
  <c r="BV67" i="1"/>
  <c r="BV38" i="1"/>
  <c r="DU38" i="1"/>
  <c r="EH38" i="1" s="1"/>
  <c r="H57" i="51"/>
  <c r="CI60" i="1"/>
  <c r="CV60" i="1" s="1"/>
  <c r="DU72" i="1"/>
  <c r="EH72" i="1" s="1"/>
  <c r="BV72" i="1"/>
  <c r="CI37" i="1"/>
  <c r="CV37" i="1" s="1"/>
  <c r="H34" i="51"/>
  <c r="CI74" i="1"/>
  <c r="CV74" i="1" s="1"/>
  <c r="H71" i="51"/>
  <c r="BV71" i="1"/>
  <c r="DU71" i="1"/>
  <c r="EH71" i="1" s="1"/>
  <c r="BV22" i="1"/>
  <c r="BV20" i="1"/>
  <c r="BV64" i="1"/>
  <c r="DU64" i="1"/>
  <c r="EH64" i="1" s="1"/>
  <c r="DU62" i="1"/>
  <c r="EH62" i="1" s="1"/>
  <c r="BV62" i="1"/>
  <c r="K83" i="37"/>
  <c r="O23" i="37"/>
  <c r="EC14" i="1"/>
  <c r="EP14" i="1" s="1"/>
  <c r="CD14" i="1"/>
  <c r="CQ14" i="1"/>
  <c r="DD14" i="1" s="1"/>
  <c r="P11" i="51"/>
  <c r="CS28" i="1"/>
  <c r="DF28" i="1" s="1"/>
  <c r="CF28" i="1"/>
  <c r="EE28" i="1"/>
  <c r="ER28" i="1" s="1"/>
  <c r="R25" i="51"/>
  <c r="EE15" i="1"/>
  <c r="ER15" i="1" s="1"/>
  <c r="CF15" i="1"/>
  <c r="CS15" i="1"/>
  <c r="DF15" i="1" s="1"/>
  <c r="R12" i="51"/>
  <c r="EE50" i="1"/>
  <c r="ER50" i="1" s="1"/>
  <c r="R47" i="51"/>
  <c r="CS50" i="1"/>
  <c r="DF50" i="1" s="1"/>
  <c r="CF50" i="1"/>
  <c r="EE32" i="1"/>
  <c r="ER32" i="1" s="1"/>
  <c r="R29" i="51"/>
  <c r="CS17" i="1"/>
  <c r="DF17" i="1" s="1"/>
  <c r="R14" i="51"/>
  <c r="CF17" i="1"/>
  <c r="EE17" i="1"/>
  <c r="ER17" i="1" s="1"/>
  <c r="CS56" i="1"/>
  <c r="DF56" i="1" s="1"/>
  <c r="EE56" i="1"/>
  <c r="ER56" i="1" s="1"/>
  <c r="R53" i="51"/>
  <c r="CF56" i="1"/>
  <c r="EC55" i="1"/>
  <c r="EP55" i="1" s="1"/>
  <c r="CQ55" i="1"/>
  <c r="DD55" i="1" s="1"/>
  <c r="CD55" i="1"/>
  <c r="P52" i="51"/>
  <c r="EC28" i="1"/>
  <c r="EP28" i="1" s="1"/>
  <c r="CD28" i="1"/>
  <c r="CQ28" i="1"/>
  <c r="DD28" i="1" s="1"/>
  <c r="P25" i="51"/>
  <c r="EC35" i="1"/>
  <c r="EP35" i="1" s="1"/>
  <c r="CD35" i="1"/>
  <c r="CQ35" i="1"/>
  <c r="DD35" i="1" s="1"/>
  <c r="P32" i="51"/>
  <c r="EC32" i="1"/>
  <c r="EP32" i="1" s="1"/>
  <c r="P29" i="51"/>
  <c r="CQ32" i="1"/>
  <c r="DD32" i="1" s="1"/>
  <c r="CD32" i="1"/>
  <c r="CQ22" i="1"/>
  <c r="DD22" i="1" s="1"/>
  <c r="EC22" i="1"/>
  <c r="EP22" i="1" s="1"/>
  <c r="P19" i="51"/>
  <c r="CD22" i="1"/>
  <c r="EC30" i="1"/>
  <c r="EP30" i="1" s="1"/>
  <c r="P27" i="51"/>
  <c r="CQ30" i="1"/>
  <c r="DD30" i="1" s="1"/>
  <c r="CD30" i="1"/>
  <c r="EE67" i="1"/>
  <c r="ER67" i="1" s="1"/>
  <c r="CS67" i="1"/>
  <c r="DF67" i="1" s="1"/>
  <c r="CF67" i="1"/>
  <c r="R64" i="51"/>
  <c r="EC53" i="1"/>
  <c r="EP53" i="1" s="1"/>
  <c r="P50" i="51"/>
  <c r="CQ53" i="1"/>
  <c r="DD53" i="1" s="1"/>
  <c r="CD53" i="1"/>
  <c r="EC56" i="1"/>
  <c r="EP56" i="1" s="1"/>
  <c r="CD56" i="1"/>
  <c r="P53" i="51"/>
  <c r="CQ56" i="1"/>
  <c r="DD56" i="1" s="1"/>
  <c r="P22" i="51"/>
  <c r="CF26" i="1"/>
  <c r="EE26" i="1"/>
  <c r="ER26" i="1" s="1"/>
  <c r="R23" i="51"/>
  <c r="CS26" i="1"/>
  <c r="DF26" i="1" s="1"/>
  <c r="EE18" i="1"/>
  <c r="ER18" i="1" s="1"/>
  <c r="CF62" i="1"/>
  <c r="CS62" i="1"/>
  <c r="DF62" i="1" s="1"/>
  <c r="EE62" i="1"/>
  <c r="ER62" i="1" s="1"/>
  <c r="R59" i="51"/>
  <c r="CS27" i="1"/>
  <c r="DF27" i="1" s="1"/>
  <c r="R32" i="51"/>
  <c r="R62" i="51"/>
  <c r="CS65" i="1"/>
  <c r="DF65" i="1" s="1"/>
  <c r="EE65" i="1"/>
  <c r="ER65" i="1" s="1"/>
  <c r="CF65" i="1"/>
  <c r="CS69" i="1"/>
  <c r="DF69" i="1" s="1"/>
  <c r="EE69" i="1"/>
  <c r="ER69" i="1" s="1"/>
  <c r="R66" i="51"/>
  <c r="CF69" i="1"/>
  <c r="EE14" i="1"/>
  <c r="ER14" i="1" s="1"/>
  <c r="CS76" i="1"/>
  <c r="DF76" i="1" s="1"/>
  <c r="R73" i="51"/>
  <c r="CF76" i="1"/>
  <c r="EE76" i="1"/>
  <c r="ER76" i="1" s="1"/>
  <c r="CF52" i="1"/>
  <c r="EE52" i="1"/>
  <c r="ER52" i="1" s="1"/>
  <c r="R49" i="51"/>
  <c r="CS52" i="1"/>
  <c r="DF52" i="1" s="1"/>
  <c r="CF70" i="1"/>
  <c r="EE70" i="1"/>
  <c r="ER70" i="1" s="1"/>
  <c r="CS70" i="1"/>
  <c r="DF70" i="1" s="1"/>
  <c r="R67" i="51"/>
  <c r="CS77" i="1"/>
  <c r="DF77" i="1" s="1"/>
  <c r="EE77" i="1"/>
  <c r="ER77" i="1" s="1"/>
  <c r="R74" i="51"/>
  <c r="CF77" i="1"/>
  <c r="CS19" i="1"/>
  <c r="DF19" i="1" s="1"/>
  <c r="CS49" i="1"/>
  <c r="DF49" i="1" s="1"/>
  <c r="CF49" i="1"/>
  <c r="R57" i="51"/>
  <c r="EE60" i="1"/>
  <c r="ER60" i="1" s="1"/>
  <c r="CS60" i="1"/>
  <c r="DF60" i="1" s="1"/>
  <c r="CF60" i="1"/>
  <c r="CS11" i="1"/>
  <c r="DF11" i="1" s="1"/>
  <c r="EC74" i="1"/>
  <c r="EP74" i="1" s="1"/>
  <c r="P71" i="51"/>
  <c r="CQ74" i="1"/>
  <c r="DD74" i="1" s="1"/>
  <c r="CD74" i="1"/>
  <c r="EC23" i="1"/>
  <c r="EP23" i="1" s="1"/>
  <c r="CD23" i="1"/>
  <c r="P20" i="51"/>
  <c r="CQ23" i="1"/>
  <c r="DD23" i="1" s="1"/>
  <c r="EC20" i="1"/>
  <c r="EP20" i="1" s="1"/>
  <c r="CD20" i="1"/>
  <c r="P17" i="51"/>
  <c r="CQ20" i="1"/>
  <c r="DD20" i="1" s="1"/>
  <c r="EC77" i="1"/>
  <c r="EP77" i="1" s="1"/>
  <c r="CD77" i="1"/>
  <c r="CQ77" i="1"/>
  <c r="DD77" i="1" s="1"/>
  <c r="P74" i="51"/>
  <c r="EC49" i="1"/>
  <c r="EP49" i="1" s="1"/>
  <c r="P46" i="51"/>
  <c r="CD49" i="1"/>
  <c r="CQ49" i="1"/>
  <c r="DD49" i="1" s="1"/>
  <c r="CQ19" i="1"/>
  <c r="DD19" i="1" s="1"/>
  <c r="EC79" i="1"/>
  <c r="EP79" i="1" s="1"/>
  <c r="CD79" i="1"/>
  <c r="CQ79" i="1"/>
  <c r="DD79" i="1" s="1"/>
  <c r="P76" i="51"/>
  <c r="CS63" i="1"/>
  <c r="DF63" i="1" s="1"/>
  <c r="R60" i="51"/>
  <c r="CF63" i="1"/>
  <c r="EE63" i="1"/>
  <c r="ER63" i="1" s="1"/>
  <c r="CF31" i="1"/>
  <c r="EE31" i="1"/>
  <c r="ER31" i="1" s="1"/>
  <c r="CS31" i="1"/>
  <c r="DF31" i="1" s="1"/>
  <c r="R28" i="51"/>
  <c r="R61" i="51"/>
  <c r="CF64" i="1"/>
  <c r="EE64" i="1"/>
  <c r="ER64" i="1" s="1"/>
  <c r="CS64" i="1"/>
  <c r="DF64" i="1" s="1"/>
  <c r="R38" i="51"/>
  <c r="R27" i="51"/>
  <c r="EE30" i="1"/>
  <c r="ER30" i="1" s="1"/>
  <c r="CF30" i="1"/>
  <c r="CS30" i="1"/>
  <c r="DF30" i="1" s="1"/>
  <c r="J86" i="64"/>
  <c r="J83" i="64"/>
  <c r="CD60" i="1"/>
  <c r="P57" i="51"/>
  <c r="CQ60" i="1"/>
  <c r="DD60" i="1" s="1"/>
  <c r="EC60" i="1"/>
  <c r="EP60" i="1" s="1"/>
  <c r="EC65" i="1"/>
  <c r="EP65" i="1" s="1"/>
  <c r="CQ65" i="1"/>
  <c r="DD65" i="1" s="1"/>
  <c r="P62" i="51"/>
  <c r="CD65" i="1"/>
  <c r="EC21" i="1"/>
  <c r="EP21" i="1" s="1"/>
  <c r="P18" i="51"/>
  <c r="CQ21" i="1"/>
  <c r="DD21" i="1" s="1"/>
  <c r="CD21" i="1"/>
  <c r="CD34" i="1"/>
  <c r="EC68" i="1"/>
  <c r="EP68" i="1" s="1"/>
  <c r="CQ68" i="1"/>
  <c r="DD68" i="1" s="1"/>
  <c r="P65" i="51"/>
  <c r="CD68" i="1"/>
  <c r="CQ27" i="1"/>
  <c r="DD27" i="1" s="1"/>
  <c r="EC27" i="1"/>
  <c r="EP27" i="1" s="1"/>
  <c r="P24" i="51"/>
  <c r="CD27" i="1"/>
  <c r="CD59" i="1"/>
  <c r="EC59" i="1"/>
  <c r="EP59" i="1" s="1"/>
  <c r="CQ59" i="1"/>
  <c r="DD59" i="1" s="1"/>
  <c r="P56" i="51"/>
  <c r="CS44" i="1"/>
  <c r="DF44" i="1" s="1"/>
  <c r="CF44" i="1"/>
  <c r="R41" i="51"/>
  <c r="EE44" i="1"/>
  <c r="ER44" i="1" s="1"/>
  <c r="EE20" i="1"/>
  <c r="ER20" i="1" s="1"/>
  <c r="R17" i="51"/>
  <c r="CS20" i="1"/>
  <c r="DF20" i="1" s="1"/>
  <c r="CF20" i="1"/>
  <c r="CF61" i="1"/>
  <c r="R58" i="51"/>
  <c r="EE61" i="1"/>
  <c r="ER61" i="1" s="1"/>
  <c r="CS61" i="1"/>
  <c r="DF61" i="1" s="1"/>
  <c r="CS39" i="1"/>
  <c r="DF39" i="1" s="1"/>
  <c r="R36" i="51"/>
  <c r="EE39" i="1"/>
  <c r="ER39" i="1" s="1"/>
  <c r="CF39" i="1"/>
  <c r="EE36" i="1"/>
  <c r="ER36" i="1" s="1"/>
  <c r="CF36" i="1"/>
  <c r="CS36" i="1"/>
  <c r="DF36" i="1" s="1"/>
  <c r="R33" i="51"/>
  <c r="CF13" i="1"/>
  <c r="CS13" i="1"/>
  <c r="DF13" i="1" s="1"/>
  <c r="R10" i="51"/>
  <c r="EE13" i="1"/>
  <c r="ER13" i="1" s="1"/>
  <c r="CS43" i="1"/>
  <c r="DF43" i="1" s="1"/>
  <c r="EE43" i="1"/>
  <c r="ER43" i="1" s="1"/>
  <c r="CF43" i="1"/>
  <c r="R40" i="51"/>
  <c r="EE54" i="1"/>
  <c r="ER54" i="1" s="1"/>
  <c r="CS54" i="1"/>
  <c r="DF54" i="1" s="1"/>
  <c r="R51" i="51"/>
  <c r="CF54" i="1"/>
  <c r="R9" i="51"/>
  <c r="EE12" i="1"/>
  <c r="ER12" i="1" s="1"/>
  <c r="CS12" i="1"/>
  <c r="DF12" i="1" s="1"/>
  <c r="CF12" i="1"/>
  <c r="R54" i="51"/>
  <c r="EE57" i="1"/>
  <c r="ER57" i="1" s="1"/>
  <c r="CS57" i="1"/>
  <c r="DF57" i="1" s="1"/>
  <c r="CF57" i="1"/>
  <c r="CF78" i="1"/>
  <c r="EE78" i="1"/>
  <c r="ER78" i="1" s="1"/>
  <c r="CS78" i="1"/>
  <c r="DF78" i="1" s="1"/>
  <c r="R75" i="51"/>
  <c r="EE51" i="1"/>
  <c r="ER51" i="1" s="1"/>
  <c r="CS25" i="1"/>
  <c r="DF25" i="1" s="1"/>
  <c r="EE25" i="1"/>
  <c r="ER25" i="1" s="1"/>
  <c r="CF25" i="1"/>
  <c r="R22" i="51"/>
  <c r="EE40" i="1"/>
  <c r="ER40" i="1" s="1"/>
  <c r="R37" i="51"/>
  <c r="CF40" i="1"/>
  <c r="CS40" i="1"/>
  <c r="DF40" i="1" s="1"/>
  <c r="CS16" i="1"/>
  <c r="DF16" i="1" s="1"/>
  <c r="CF16" i="1"/>
  <c r="EE16" i="1"/>
  <c r="ER16" i="1" s="1"/>
  <c r="R13" i="51"/>
  <c r="R39" i="51"/>
  <c r="CF42" i="1"/>
  <c r="EE42" i="1"/>
  <c r="ER42" i="1" s="1"/>
  <c r="CS42" i="1"/>
  <c r="DF42" i="1" s="1"/>
  <c r="CS68" i="1"/>
  <c r="DF68" i="1" s="1"/>
  <c r="CF68" i="1"/>
  <c r="R65" i="51"/>
  <c r="EE68" i="1"/>
  <c r="ER68" i="1" s="1"/>
  <c r="J86" i="53"/>
  <c r="J83" i="53"/>
  <c r="CQ31" i="1"/>
  <c r="DD31" i="1" s="1"/>
  <c r="P28" i="51"/>
  <c r="CD31" i="1"/>
  <c r="EC31" i="1"/>
  <c r="EP31" i="1" s="1"/>
  <c r="EC42" i="1"/>
  <c r="EP42" i="1" s="1"/>
  <c r="P39" i="51"/>
  <c r="CQ42" i="1"/>
  <c r="DD42" i="1" s="1"/>
  <c r="CD42" i="1"/>
  <c r="EC52" i="1"/>
  <c r="EP52" i="1" s="1"/>
  <c r="P49" i="51"/>
  <c r="CQ52" i="1"/>
  <c r="DD52" i="1" s="1"/>
  <c r="CD52" i="1"/>
  <c r="EC26" i="1"/>
  <c r="EP26" i="1" s="1"/>
  <c r="CD26" i="1"/>
  <c r="P23" i="51"/>
  <c r="CQ26" i="1"/>
  <c r="DD26" i="1" s="1"/>
  <c r="EC71" i="1"/>
  <c r="EP71" i="1" s="1"/>
  <c r="CD71" i="1"/>
  <c r="P68" i="51"/>
  <c r="CQ71" i="1"/>
  <c r="DD71" i="1" s="1"/>
  <c r="EC61" i="1"/>
  <c r="EP61" i="1" s="1"/>
  <c r="P58" i="51"/>
  <c r="CD61" i="1"/>
  <c r="CQ61" i="1"/>
  <c r="DD61" i="1" s="1"/>
  <c r="EC45" i="1"/>
  <c r="EP45" i="1" s="1"/>
  <c r="CD45" i="1"/>
  <c r="P34" i="51"/>
  <c r="CQ37" i="1"/>
  <c r="DD37" i="1" s="1"/>
  <c r="EC37" i="1"/>
  <c r="EP37" i="1" s="1"/>
  <c r="CD37" i="1"/>
  <c r="EC43" i="1"/>
  <c r="EP43" i="1" s="1"/>
  <c r="P40" i="51"/>
  <c r="CQ43" i="1"/>
  <c r="DD43" i="1" s="1"/>
  <c r="CD43" i="1"/>
  <c r="EE71" i="1"/>
  <c r="ER71" i="1" s="1"/>
  <c r="CF71" i="1"/>
  <c r="R68" i="51"/>
  <c r="CS71" i="1"/>
  <c r="DF71" i="1" s="1"/>
  <c r="EE66" i="1"/>
  <c r="ER66" i="1" s="1"/>
  <c r="R63" i="51"/>
  <c r="CF66" i="1"/>
  <c r="CS66" i="1"/>
  <c r="DF66" i="1" s="1"/>
  <c r="R77" i="51"/>
  <c r="EE80" i="1"/>
  <c r="ER80" i="1" s="1"/>
  <c r="CS80" i="1"/>
  <c r="DF80" i="1" s="1"/>
  <c r="CF80" i="1"/>
  <c r="EE75" i="1"/>
  <c r="ER75" i="1" s="1"/>
  <c r="CS75" i="1"/>
  <c r="DF75" i="1" s="1"/>
  <c r="CF75" i="1"/>
  <c r="R72" i="51"/>
  <c r="R42" i="51"/>
  <c r="EE45" i="1"/>
  <c r="ER45" i="1" s="1"/>
  <c r="CF45" i="1"/>
  <c r="CS45" i="1"/>
  <c r="DF45" i="1" s="1"/>
  <c r="CS24" i="1"/>
  <c r="DF24" i="1" s="1"/>
  <c r="CF24" i="1"/>
  <c r="EE24" i="1"/>
  <c r="ER24" i="1" s="1"/>
  <c r="R21" i="51"/>
  <c r="CF73" i="1"/>
  <c r="EE73" i="1"/>
  <c r="ER73" i="1" s="1"/>
  <c r="CS73" i="1"/>
  <c r="DF73" i="1" s="1"/>
  <c r="R70" i="51"/>
  <c r="EC12" i="1"/>
  <c r="EP12" i="1" s="1"/>
  <c r="EC51" i="1"/>
  <c r="EP51" i="1" s="1"/>
  <c r="P48" i="51"/>
  <c r="CQ51" i="1"/>
  <c r="DD51" i="1" s="1"/>
  <c r="CD51" i="1"/>
  <c r="EC46" i="1"/>
  <c r="EP46" i="1" s="1"/>
  <c r="EC16" i="1"/>
  <c r="EP16" i="1" s="1"/>
  <c r="EC44" i="1"/>
  <c r="EP44" i="1" s="1"/>
  <c r="CD70" i="1"/>
  <c r="EC70" i="1"/>
  <c r="EP70" i="1" s="1"/>
  <c r="CQ70" i="1"/>
  <c r="DD70" i="1" s="1"/>
  <c r="P67" i="51"/>
  <c r="CD72" i="1"/>
  <c r="CQ72" i="1"/>
  <c r="DD72" i="1" s="1"/>
  <c r="EC72" i="1"/>
  <c r="EP72" i="1" s="1"/>
  <c r="P69" i="51"/>
  <c r="EC13" i="1"/>
  <c r="EP13" i="1" s="1"/>
  <c r="CQ13" i="1"/>
  <c r="DD13" i="1" s="1"/>
  <c r="CD13" i="1"/>
  <c r="P10" i="51"/>
  <c r="CS22" i="1"/>
  <c r="DF22" i="1" s="1"/>
  <c r="CF22" i="1"/>
  <c r="EE22" i="1"/>
  <c r="ER22" i="1" s="1"/>
  <c r="R19" i="51"/>
  <c r="CS58" i="1"/>
  <c r="DF58" i="1" s="1"/>
  <c r="CF21" i="1"/>
  <c r="CF38" i="1"/>
  <c r="R35" i="51"/>
  <c r="EE38" i="1"/>
  <c r="ER38" i="1" s="1"/>
  <c r="CS38" i="1"/>
  <c r="DF38" i="1" s="1"/>
  <c r="EE29" i="1"/>
  <c r="ER29" i="1" s="1"/>
  <c r="CS29" i="1"/>
  <c r="DF29" i="1" s="1"/>
  <c r="CF29" i="1"/>
  <c r="R26" i="51"/>
  <c r="CS34" i="1"/>
  <c r="DF34" i="1" s="1"/>
  <c r="EE34" i="1"/>
  <c r="ER34" i="1" s="1"/>
  <c r="R31" i="51"/>
  <c r="CF34" i="1"/>
  <c r="CF72" i="1"/>
  <c r="R69" i="51"/>
  <c r="EE72" i="1"/>
  <c r="ER72" i="1" s="1"/>
  <c r="CS72" i="1"/>
  <c r="DF72" i="1" s="1"/>
  <c r="R52" i="51"/>
  <c r="CS55" i="1"/>
  <c r="DF55" i="1" s="1"/>
  <c r="EE55" i="1"/>
  <c r="ER55" i="1" s="1"/>
  <c r="CF55" i="1"/>
  <c r="R76" i="51"/>
  <c r="EE79" i="1"/>
  <c r="ER79" i="1" s="1"/>
  <c r="CF79" i="1"/>
  <c r="CS79" i="1"/>
  <c r="DF79" i="1" s="1"/>
  <c r="EE53" i="1"/>
  <c r="ER53" i="1" s="1"/>
  <c r="CS53" i="1"/>
  <c r="DF53" i="1" s="1"/>
  <c r="R50" i="51"/>
  <c r="CF53" i="1"/>
  <c r="EE47" i="1"/>
  <c r="ER47" i="1" s="1"/>
  <c r="CS47" i="1"/>
  <c r="DF47" i="1" s="1"/>
  <c r="R44" i="51"/>
  <c r="CF47" i="1"/>
  <c r="CF74" i="1"/>
  <c r="EE74" i="1"/>
  <c r="ER74" i="1" s="1"/>
  <c r="CS74" i="1"/>
  <c r="DF74" i="1" s="1"/>
  <c r="R71" i="51"/>
  <c r="R30" i="51"/>
  <c r="CF33" i="1"/>
  <c r="EE33" i="1"/>
  <c r="ER33" i="1" s="1"/>
  <c r="CS33" i="1"/>
  <c r="DF33" i="1" s="1"/>
  <c r="CS46" i="1"/>
  <c r="DF46" i="1" s="1"/>
  <c r="R34" i="51"/>
  <c r="EE37" i="1"/>
  <c r="ER37" i="1" s="1"/>
  <c r="CF37" i="1"/>
  <c r="CS37" i="1"/>
  <c r="DF37" i="1" s="1"/>
  <c r="R56" i="51"/>
  <c r="EE59" i="1"/>
  <c r="ER59" i="1" s="1"/>
  <c r="CF59" i="1"/>
  <c r="CS59" i="1"/>
  <c r="DF59" i="1" s="1"/>
  <c r="CD40" i="1"/>
  <c r="EC40" i="1"/>
  <c r="EP40" i="1" s="1"/>
  <c r="CQ40" i="1"/>
  <c r="DD40" i="1" s="1"/>
  <c r="P37" i="51"/>
  <c r="EC67" i="1"/>
  <c r="EP67" i="1" s="1"/>
  <c r="CQ67" i="1"/>
  <c r="DD67" i="1" s="1"/>
  <c r="CD67" i="1"/>
  <c r="P64" i="51"/>
  <c r="EC11" i="1"/>
  <c r="EP11" i="1" s="1"/>
  <c r="CQ11" i="1"/>
  <c r="DD11" i="1" s="1"/>
  <c r="CD11" i="1"/>
  <c r="P8" i="51"/>
  <c r="EB72" i="1"/>
  <c r="EO72" i="1" s="1"/>
  <c r="CP72" i="1"/>
  <c r="DC72" i="1" s="1"/>
  <c r="O69" i="51"/>
  <c r="CC72" i="1"/>
  <c r="EB74" i="1"/>
  <c r="EO74" i="1" s="1"/>
  <c r="CP74" i="1"/>
  <c r="CC74" i="1"/>
  <c r="O71" i="51"/>
  <c r="EB23" i="1"/>
  <c r="EO23" i="1" s="1"/>
  <c r="O20" i="51"/>
  <c r="CC23" i="1"/>
  <c r="CP23" i="1"/>
  <c r="EB33" i="1"/>
  <c r="EO33" i="1" s="1"/>
  <c r="O30" i="51"/>
  <c r="CC33" i="1"/>
  <c r="CP33" i="1"/>
  <c r="DC33" i="1" s="1"/>
  <c r="EB29" i="1"/>
  <c r="EO29" i="1" s="1"/>
  <c r="CP29" i="1"/>
  <c r="O26" i="51"/>
  <c r="CC29" i="1"/>
  <c r="EB36" i="1"/>
  <c r="EO36" i="1" s="1"/>
  <c r="CC36" i="1"/>
  <c r="CP36" i="1"/>
  <c r="DC36" i="1" s="1"/>
  <c r="O33" i="51"/>
  <c r="EB62" i="1"/>
  <c r="EO62" i="1" s="1"/>
  <c r="CP62" i="1"/>
  <c r="DC62" i="1" s="1"/>
  <c r="CC62" i="1"/>
  <c r="O59" i="51"/>
  <c r="EB69" i="1"/>
  <c r="EO69" i="1" s="1"/>
  <c r="O66" i="51"/>
  <c r="CP69" i="1"/>
  <c r="CC69" i="1"/>
  <c r="EB20" i="1"/>
  <c r="EO20" i="1" s="1"/>
  <c r="CP20" i="1"/>
  <c r="DC20" i="1" s="1"/>
  <c r="O17" i="51"/>
  <c r="CC20" i="1"/>
  <c r="BN76" i="1"/>
  <c r="BN77" i="1"/>
  <c r="EB41" i="1"/>
  <c r="EO41" i="1" s="1"/>
  <c r="CP41" i="1"/>
  <c r="O38" i="51"/>
  <c r="CC41" i="1"/>
  <c r="EB70" i="1"/>
  <c r="EO70" i="1" s="1"/>
  <c r="CP70" i="1"/>
  <c r="O67" i="51"/>
  <c r="CC70" i="1"/>
  <c r="EB47" i="1"/>
  <c r="EO47" i="1" s="1"/>
  <c r="CP47" i="1"/>
  <c r="O44" i="51"/>
  <c r="CC47" i="1"/>
  <c r="EB64" i="1"/>
  <c r="EO64" i="1" s="1"/>
  <c r="O61" i="51"/>
  <c r="CC64" i="1"/>
  <c r="CP64" i="1"/>
  <c r="DC64" i="1" s="1"/>
  <c r="EB21" i="1"/>
  <c r="EO21" i="1" s="1"/>
  <c r="CP21" i="1"/>
  <c r="CC21" i="1"/>
  <c r="O18" i="51"/>
  <c r="EB53" i="1"/>
  <c r="EO53" i="1" s="1"/>
  <c r="O50" i="51"/>
  <c r="CC53" i="1"/>
  <c r="CP53" i="1"/>
  <c r="EB52" i="1"/>
  <c r="EO52" i="1" s="1"/>
  <c r="O49" i="51"/>
  <c r="CC52" i="1"/>
  <c r="CP52" i="1"/>
  <c r="DC52" i="1" s="1"/>
  <c r="EB59" i="1"/>
  <c r="EO59" i="1" s="1"/>
  <c r="CP59" i="1"/>
  <c r="DC59" i="1" s="1"/>
  <c r="O56" i="51"/>
  <c r="CC59" i="1"/>
  <c r="EB50" i="1"/>
  <c r="EO50" i="1" s="1"/>
  <c r="O47" i="51"/>
  <c r="CC50" i="1"/>
  <c r="CP50" i="1"/>
  <c r="DC50" i="1" s="1"/>
  <c r="EB13" i="1"/>
  <c r="EO13" i="1" s="1"/>
  <c r="CP13" i="1"/>
  <c r="O10" i="51"/>
  <c r="CC13" i="1"/>
  <c r="CP18" i="1"/>
  <c r="EB18" i="1"/>
  <c r="EO18" i="1" s="1"/>
  <c r="O15" i="51"/>
  <c r="CC18" i="1"/>
  <c r="CP17" i="1"/>
  <c r="DC17" i="1" s="1"/>
  <c r="EB17" i="1"/>
  <c r="EO17" i="1" s="1"/>
  <c r="O14" i="51"/>
  <c r="CC17" i="1"/>
  <c r="CC16" i="1"/>
  <c r="EB16" i="1"/>
  <c r="EO16" i="1" s="1"/>
  <c r="CP16" i="1"/>
  <c r="DC16" i="1" s="1"/>
  <c r="O13" i="51"/>
  <c r="CP14" i="1"/>
  <c r="DC14" i="1" s="1"/>
  <c r="EB14" i="1"/>
  <c r="EO14" i="1" s="1"/>
  <c r="O11" i="51"/>
  <c r="CC14" i="1"/>
  <c r="EB73" i="1"/>
  <c r="EO73" i="1" s="1"/>
  <c r="CP73" i="1"/>
  <c r="CC73" i="1"/>
  <c r="O70" i="51"/>
  <c r="EB65" i="1"/>
  <c r="EO65" i="1" s="1"/>
  <c r="CP65" i="1"/>
  <c r="DC65" i="1" s="1"/>
  <c r="O62" i="51"/>
  <c r="CC65" i="1"/>
  <c r="EB58" i="1"/>
  <c r="EO58" i="1" s="1"/>
  <c r="O55" i="51"/>
  <c r="CP58" i="1"/>
  <c r="CC58" i="1"/>
  <c r="EB24" i="1"/>
  <c r="EO24" i="1" s="1"/>
  <c r="CC24" i="1"/>
  <c r="CP24" i="1"/>
  <c r="O21" i="51"/>
  <c r="EB51" i="1"/>
  <c r="EO51" i="1" s="1"/>
  <c r="CP51" i="1"/>
  <c r="CC51" i="1"/>
  <c r="O48" i="51"/>
  <c r="CP60" i="1"/>
  <c r="EB60" i="1"/>
  <c r="EO60" i="1" s="1"/>
  <c r="CC60" i="1"/>
  <c r="O57" i="51"/>
  <c r="EB15" i="1"/>
  <c r="EO15" i="1" s="1"/>
  <c r="O12" i="51"/>
  <c r="CC15" i="1"/>
  <c r="CP15" i="1"/>
  <c r="DC15" i="1" s="1"/>
  <c r="EB49" i="1"/>
  <c r="EO49" i="1" s="1"/>
  <c r="O46" i="51"/>
  <c r="CC49" i="1"/>
  <c r="CP49" i="1"/>
  <c r="DC49" i="1" s="1"/>
  <c r="EB66" i="1"/>
  <c r="EO66" i="1" s="1"/>
  <c r="CP66" i="1"/>
  <c r="DC66" i="1" s="1"/>
  <c r="O63" i="51"/>
  <c r="CC66" i="1"/>
  <c r="EB31" i="1"/>
  <c r="EO31" i="1" s="1"/>
  <c r="CP31" i="1"/>
  <c r="DC31" i="1" s="1"/>
  <c r="O28" i="51"/>
  <c r="CC31" i="1"/>
  <c r="EB32" i="1"/>
  <c r="EO32" i="1" s="1"/>
  <c r="O29" i="51"/>
  <c r="CC32" i="1"/>
  <c r="CP32" i="1"/>
  <c r="DC32" i="1" s="1"/>
  <c r="EB79" i="1"/>
  <c r="EO79" i="1" s="1"/>
  <c r="O76" i="51"/>
  <c r="CC79" i="1"/>
  <c r="CP79" i="1"/>
  <c r="EB63" i="1"/>
  <c r="EO63" i="1" s="1"/>
  <c r="CP63" i="1"/>
  <c r="DC63" i="1" s="1"/>
  <c r="CC63" i="1"/>
  <c r="O60" i="51"/>
  <c r="EB38" i="1"/>
  <c r="EO38" i="1" s="1"/>
  <c r="O35" i="51"/>
  <c r="CC38" i="1"/>
  <c r="CP38" i="1"/>
  <c r="EB61" i="1"/>
  <c r="EO61" i="1" s="1"/>
  <c r="CP61" i="1"/>
  <c r="O58" i="51"/>
  <c r="CC61" i="1"/>
  <c r="EB34" i="1"/>
  <c r="EO34" i="1" s="1"/>
  <c r="CP34" i="1"/>
  <c r="DC34" i="1" s="1"/>
  <c r="O31" i="51"/>
  <c r="CC34" i="1"/>
  <c r="EB57" i="1"/>
  <c r="EO57" i="1" s="1"/>
  <c r="CP57" i="1"/>
  <c r="DC57" i="1" s="1"/>
  <c r="CC57" i="1"/>
  <c r="O54" i="51"/>
  <c r="EB55" i="1"/>
  <c r="EO55" i="1" s="1"/>
  <c r="CP55" i="1"/>
  <c r="O52" i="51"/>
  <c r="CC55" i="1"/>
  <c r="EB22" i="1"/>
  <c r="EO22" i="1" s="1"/>
  <c r="CC22" i="1"/>
  <c r="CP22" i="1"/>
  <c r="O19" i="51"/>
  <c r="EB54" i="1"/>
  <c r="EO54" i="1" s="1"/>
  <c r="CP54" i="1"/>
  <c r="CC54" i="1"/>
  <c r="O51" i="51"/>
  <c r="EB75" i="1"/>
  <c r="EO75" i="1" s="1"/>
  <c r="CP75" i="1"/>
  <c r="O72" i="51"/>
  <c r="CC75" i="1"/>
  <c r="EB30" i="1"/>
  <c r="EO30" i="1" s="1"/>
  <c r="CC30" i="1"/>
  <c r="CP30" i="1"/>
  <c r="O27" i="51"/>
  <c r="EB28" i="1"/>
  <c r="EO28" i="1" s="1"/>
  <c r="CC28" i="1"/>
  <c r="CP28" i="1"/>
  <c r="O25" i="51"/>
  <c r="CC11" i="1"/>
  <c r="O8" i="51"/>
  <c r="EB11" i="1"/>
  <c r="EO11" i="1" s="1"/>
  <c r="CP11" i="1"/>
  <c r="EB48" i="1"/>
  <c r="EO48" i="1" s="1"/>
  <c r="O45" i="51"/>
  <c r="CC48" i="1"/>
  <c r="CP48" i="1"/>
  <c r="EB39" i="1"/>
  <c r="EO39" i="1" s="1"/>
  <c r="O36" i="51"/>
  <c r="CC39" i="1"/>
  <c r="CP39" i="1"/>
  <c r="EB35" i="1"/>
  <c r="EO35" i="1" s="1"/>
  <c r="O32" i="51"/>
  <c r="CC35" i="1"/>
  <c r="CP35" i="1"/>
  <c r="EB56" i="1"/>
  <c r="EO56" i="1" s="1"/>
  <c r="CC56" i="1"/>
  <c r="CP56" i="1"/>
  <c r="DC56" i="1" s="1"/>
  <c r="O53" i="51"/>
  <c r="EB43" i="1"/>
  <c r="EO43" i="1" s="1"/>
  <c r="CP43" i="1"/>
  <c r="O40" i="51"/>
  <c r="CC43" i="1"/>
  <c r="EB71" i="1"/>
  <c r="EO71" i="1" s="1"/>
  <c r="CC71" i="1"/>
  <c r="CP71" i="1"/>
  <c r="O68" i="51"/>
  <c r="EB26" i="1"/>
  <c r="EO26" i="1" s="1"/>
  <c r="CP26" i="1"/>
  <c r="O23" i="51"/>
  <c r="CC26" i="1"/>
  <c r="EB46" i="1"/>
  <c r="EO46" i="1" s="1"/>
  <c r="O43" i="51"/>
  <c r="CC46" i="1"/>
  <c r="CP46" i="1"/>
  <c r="EB27" i="1"/>
  <c r="EO27" i="1" s="1"/>
  <c r="CP27" i="1"/>
  <c r="DC27" i="1" s="1"/>
  <c r="O24" i="51"/>
  <c r="CC27" i="1"/>
  <c r="EB19" i="1"/>
  <c r="EO19" i="1" s="1"/>
  <c r="O16" i="51"/>
  <c r="CC19" i="1"/>
  <c r="CP19" i="1"/>
  <c r="EB12" i="1"/>
  <c r="EO12" i="1" s="1"/>
  <c r="O9" i="51"/>
  <c r="CC12" i="1"/>
  <c r="CP12" i="1"/>
  <c r="DC12" i="1" s="1"/>
  <c r="EB76" i="1"/>
  <c r="EO76" i="1" s="1"/>
  <c r="O73" i="51"/>
  <c r="CC76" i="1"/>
  <c r="CP76" i="1"/>
  <c r="EB80" i="1"/>
  <c r="EO80" i="1" s="1"/>
  <c r="CP80" i="1"/>
  <c r="O77" i="51"/>
  <c r="CC80" i="1"/>
  <c r="EB78" i="1"/>
  <c r="EO78" i="1" s="1"/>
  <c r="CP78" i="1"/>
  <c r="CC78" i="1"/>
  <c r="O75" i="51"/>
  <c r="EB25" i="1"/>
  <c r="EO25" i="1" s="1"/>
  <c r="CP25" i="1"/>
  <c r="DC25" i="1" s="1"/>
  <c r="O22" i="51"/>
  <c r="CC25" i="1"/>
  <c r="CP67" i="1"/>
  <c r="O64" i="51"/>
  <c r="CC67" i="1"/>
  <c r="EB67" i="1"/>
  <c r="EO67" i="1" s="1"/>
  <c r="CP37" i="1"/>
  <c r="O34" i="51"/>
  <c r="EB37" i="1"/>
  <c r="EO37" i="1" s="1"/>
  <c r="CC37" i="1"/>
  <c r="CC44" i="1"/>
  <c r="CP44" i="1"/>
  <c r="EB44" i="1"/>
  <c r="EO44" i="1" s="1"/>
  <c r="O41" i="51"/>
  <c r="CC42" i="1"/>
  <c r="EB42" i="1"/>
  <c r="EO42" i="1" s="1"/>
  <c r="CP42" i="1"/>
  <c r="O39" i="51"/>
  <c r="EB40" i="1"/>
  <c r="EO40" i="1" s="1"/>
  <c r="CP40" i="1"/>
  <c r="DC40" i="1" s="1"/>
  <c r="CC40" i="1"/>
  <c r="O37" i="51"/>
  <c r="EB45" i="1"/>
  <c r="EO45" i="1" s="1"/>
  <c r="CP45" i="1"/>
  <c r="CC45" i="1"/>
  <c r="O42" i="51"/>
  <c r="EB68" i="1"/>
  <c r="EO68" i="1" s="1"/>
  <c r="CP68" i="1"/>
  <c r="DC68" i="1" s="1"/>
  <c r="O65" i="51"/>
  <c r="CC68" i="1"/>
  <c r="EB77" i="1"/>
  <c r="EO77" i="1" s="1"/>
  <c r="CC77" i="1"/>
  <c r="CP77" i="1"/>
  <c r="O74" i="51"/>
  <c r="BH45" i="1"/>
  <c r="F84" i="67"/>
  <c r="F88" i="67"/>
  <c r="F83" i="67"/>
  <c r="F87" i="67"/>
  <c r="F86" i="67"/>
  <c r="F85" i="67"/>
  <c r="BH67" i="1"/>
  <c r="BN75" i="1"/>
  <c r="BH78" i="1"/>
  <c r="H88" i="36" l="1"/>
  <c r="O55" i="39"/>
  <c r="Q29" i="1"/>
  <c r="EF55" i="1"/>
  <c r="BE55" i="1" s="1"/>
  <c r="EF35" i="1"/>
  <c r="BE35" i="1" s="1"/>
  <c r="BH35" i="1" s="1"/>
  <c r="EF17" i="1"/>
  <c r="BE17" i="1" s="1"/>
  <c r="BH17" i="1" s="1"/>
  <c r="O27" i="37"/>
  <c r="M27" i="1"/>
  <c r="O22" i="37"/>
  <c r="M22" i="1"/>
  <c r="O30" i="37"/>
  <c r="M30" i="1"/>
  <c r="O20" i="37"/>
  <c r="M20" i="1"/>
  <c r="O43" i="37"/>
  <c r="M43" i="1"/>
  <c r="O25" i="38"/>
  <c r="P46" i="55"/>
  <c r="Y37" i="1"/>
  <c r="P14" i="55"/>
  <c r="EF31" i="1"/>
  <c r="BE31" i="1" s="1"/>
  <c r="BH31" i="1" s="1"/>
  <c r="O52" i="37"/>
  <c r="M52" i="1"/>
  <c r="O36" i="37"/>
  <c r="M36" i="1"/>
  <c r="O32" i="37"/>
  <c r="M32" i="1"/>
  <c r="O39" i="37"/>
  <c r="M39" i="1"/>
  <c r="BN70" i="1"/>
  <c r="BM70" i="1"/>
  <c r="BN66" i="1"/>
  <c r="BH66" i="1"/>
  <c r="EF11" i="1"/>
  <c r="BE11" i="1" s="1"/>
  <c r="BH11" i="1" s="1"/>
  <c r="CF46" i="1"/>
  <c r="CF58" i="1"/>
  <c r="P41" i="51"/>
  <c r="CQ16" i="1"/>
  <c r="DD16" i="1" s="1"/>
  <c r="CQ46" i="1"/>
  <c r="DD46" i="1" s="1"/>
  <c r="CD12" i="1"/>
  <c r="CF41" i="1"/>
  <c r="CF11" i="1"/>
  <c r="CR24" i="1"/>
  <c r="DE24" i="1" s="1"/>
  <c r="H86" i="36"/>
  <c r="Y31" i="1"/>
  <c r="EF19" i="1"/>
  <c r="BE19" i="1" s="1"/>
  <c r="BH19" i="1" s="1"/>
  <c r="EF51" i="1"/>
  <c r="BE51" i="1" s="1"/>
  <c r="BH51" i="1" s="1"/>
  <c r="O23" i="39"/>
  <c r="EF57" i="1"/>
  <c r="BE57" i="1" s="1"/>
  <c r="BH57" i="1" s="1"/>
  <c r="EF68" i="1"/>
  <c r="BE68" i="1" s="1"/>
  <c r="EF73" i="1"/>
  <c r="BE73" i="1" s="1"/>
  <c r="BM73" i="1" s="1"/>
  <c r="EF25" i="1"/>
  <c r="BE25" i="1" s="1"/>
  <c r="BH25" i="1" s="1"/>
  <c r="EF47" i="1"/>
  <c r="BE47" i="1" s="1"/>
  <c r="BH47" i="1" s="1"/>
  <c r="U28" i="1"/>
  <c r="EF72" i="1"/>
  <c r="BE72" i="1" s="1"/>
  <c r="BM72" i="1" s="1"/>
  <c r="EF71" i="1"/>
  <c r="BE71" i="1" s="1"/>
  <c r="BM71" i="1" s="1"/>
  <c r="O17" i="39"/>
  <c r="R43" i="51"/>
  <c r="EE58" i="1"/>
  <c r="ER58" i="1" s="1"/>
  <c r="CQ44" i="1"/>
  <c r="DD44" i="1" s="1"/>
  <c r="P13" i="51"/>
  <c r="P43" i="51"/>
  <c r="CQ12" i="1"/>
  <c r="DD12" i="1" s="1"/>
  <c r="CD33" i="1"/>
  <c r="CS41" i="1"/>
  <c r="DF41" i="1" s="1"/>
  <c r="EE11" i="1"/>
  <c r="ER11" i="1" s="1"/>
  <c r="CL53" i="1"/>
  <c r="CY53" i="1" s="1"/>
  <c r="CE24" i="1"/>
  <c r="DU17" i="1"/>
  <c r="EH17" i="1" s="1"/>
  <c r="CI17" i="1"/>
  <c r="CV17" i="1" s="1"/>
  <c r="Y28" i="1"/>
  <c r="EF32" i="1"/>
  <c r="BE32" i="1" s="1"/>
  <c r="BH32" i="1" s="1"/>
  <c r="EF21" i="1"/>
  <c r="BE21" i="1" s="1"/>
  <c r="BH21" i="1" s="1"/>
  <c r="O52" i="39"/>
  <c r="EF15" i="1"/>
  <c r="BE15" i="1" s="1"/>
  <c r="Q49" i="1"/>
  <c r="Q40" i="1"/>
  <c r="Q57" i="1"/>
  <c r="EF64" i="1"/>
  <c r="BE64" i="1" s="1"/>
  <c r="AW27" i="1"/>
  <c r="EF22" i="1"/>
  <c r="BE22" i="1" s="1"/>
  <c r="BH22" i="1" s="1"/>
  <c r="U36" i="1"/>
  <c r="U49" i="1"/>
  <c r="U57" i="1"/>
  <c r="EF56" i="1"/>
  <c r="BE56" i="1" s="1"/>
  <c r="BH56" i="1" s="1"/>
  <c r="EF24" i="1"/>
  <c r="BE24" i="1" s="1"/>
  <c r="BH24" i="1" s="1"/>
  <c r="AW32" i="1"/>
  <c r="CQ47" i="1"/>
  <c r="DD47" i="1" s="1"/>
  <c r="CF35" i="1"/>
  <c r="I53" i="51"/>
  <c r="EF23" i="1"/>
  <c r="BE23" i="1" s="1"/>
  <c r="O15" i="40"/>
  <c r="O20" i="38"/>
  <c r="EF65" i="1"/>
  <c r="BE65" i="1" s="1"/>
  <c r="BN65" i="1" s="1"/>
  <c r="EF63" i="1"/>
  <c r="BE63" i="1" s="1"/>
  <c r="Q19" i="1"/>
  <c r="EF69" i="1"/>
  <c r="BE69" i="1" s="1"/>
  <c r="BN69" i="1" s="1"/>
  <c r="Q42" i="1"/>
  <c r="Q43" i="1"/>
  <c r="EF59" i="1"/>
  <c r="BE59" i="1" s="1"/>
  <c r="BH59" i="1" s="1"/>
  <c r="EF30" i="1"/>
  <c r="BE30" i="1" s="1"/>
  <c r="BH30" i="1" s="1"/>
  <c r="EF36" i="1"/>
  <c r="BE36" i="1" s="1"/>
  <c r="BH36" i="1" s="1"/>
  <c r="U32" i="1"/>
  <c r="U25" i="1"/>
  <c r="U35" i="1"/>
  <c r="U45" i="1"/>
  <c r="U40" i="1"/>
  <c r="Y17" i="1"/>
  <c r="EF50" i="1"/>
  <c r="BE50" i="1" s="1"/>
  <c r="BH50" i="1" s="1"/>
  <c r="Y33" i="1"/>
  <c r="Y48" i="1"/>
  <c r="Y39" i="1"/>
  <c r="P55" i="55"/>
  <c r="EF37" i="1"/>
  <c r="BE37" i="1" s="1"/>
  <c r="U31" i="1"/>
  <c r="CH31" i="1"/>
  <c r="DT31" i="1"/>
  <c r="EG31" i="1" s="1"/>
  <c r="G28" i="51"/>
  <c r="O22" i="39"/>
  <c r="U22" i="1"/>
  <c r="O16" i="39"/>
  <c r="U16" i="1"/>
  <c r="CK23" i="1"/>
  <c r="CX23" i="1" s="1"/>
  <c r="J20" i="51"/>
  <c r="BW60" i="1"/>
  <c r="BH64" i="1"/>
  <c r="BN64" i="1"/>
  <c r="DU25" i="1"/>
  <c r="EH25" i="1" s="1"/>
  <c r="H22" i="51"/>
  <c r="CI25" i="1"/>
  <c r="CV25" i="1" s="1"/>
  <c r="AW37" i="1"/>
  <c r="P37" i="55"/>
  <c r="P34" i="55"/>
  <c r="AW34" i="1"/>
  <c r="BH23" i="1"/>
  <c r="CK55" i="1"/>
  <c r="CX55" i="1" s="1"/>
  <c r="J52" i="51"/>
  <c r="O54" i="38"/>
  <c r="Q54" i="1"/>
  <c r="BH65" i="1"/>
  <c r="BM65" i="1"/>
  <c r="BM63" i="1"/>
  <c r="BN63" i="1"/>
  <c r="BH63" i="1"/>
  <c r="BW12" i="1"/>
  <c r="I72" i="51"/>
  <c r="CJ75" i="1"/>
  <c r="CW75" i="1" s="1"/>
  <c r="I34" i="51"/>
  <c r="CJ37" i="1"/>
  <c r="CW37" i="1" s="1"/>
  <c r="BN67" i="1"/>
  <c r="BM67" i="1"/>
  <c r="BM69" i="1"/>
  <c r="BH69" i="1"/>
  <c r="BM75" i="1"/>
  <c r="BH75" i="1"/>
  <c r="BM77" i="1"/>
  <c r="BH77" i="1"/>
  <c r="J50" i="51"/>
  <c r="CK53" i="1"/>
  <c r="CX53" i="1" s="1"/>
  <c r="K86" i="39"/>
  <c r="EF20" i="1"/>
  <c r="BE20" i="1" s="1"/>
  <c r="BH20" i="1" s="1"/>
  <c r="EF54" i="1"/>
  <c r="BE54" i="1" s="1"/>
  <c r="O31" i="38"/>
  <c r="Q31" i="1"/>
  <c r="I26" i="51"/>
  <c r="CJ29" i="1"/>
  <c r="CW29" i="1" s="1"/>
  <c r="EE48" i="1"/>
  <c r="R45" i="51"/>
  <c r="J47" i="51"/>
  <c r="CK50" i="1"/>
  <c r="CX50" i="1" s="1"/>
  <c r="O39" i="39"/>
  <c r="U39" i="1"/>
  <c r="O41" i="39"/>
  <c r="U41" i="1"/>
  <c r="P29" i="55"/>
  <c r="AW29" i="1"/>
  <c r="I48" i="51"/>
  <c r="CJ51" i="1"/>
  <c r="CW51" i="1" s="1"/>
  <c r="CJ20" i="1"/>
  <c r="CW20" i="1" s="1"/>
  <c r="I17" i="51"/>
  <c r="BH74" i="1"/>
  <c r="BN74" i="1"/>
  <c r="BW59" i="1"/>
  <c r="BW74" i="1"/>
  <c r="DV74" i="1"/>
  <c r="EI74" i="1" s="1"/>
  <c r="BM80" i="1"/>
  <c r="BN80" i="1"/>
  <c r="BN78" i="1"/>
  <c r="BM78" i="1"/>
  <c r="BH61" i="1"/>
  <c r="BN61" i="1"/>
  <c r="BM64" i="1"/>
  <c r="F88" i="53"/>
  <c r="EF18" i="1"/>
  <c r="BE18" i="1" s="1"/>
  <c r="BH18" i="1" s="1"/>
  <c r="EF44" i="1"/>
  <c r="BE44" i="1" s="1"/>
  <c r="BH44" i="1" s="1"/>
  <c r="EF16" i="1"/>
  <c r="BE16" i="1" s="1"/>
  <c r="BH16" i="1" s="1"/>
  <c r="EF58" i="1"/>
  <c r="BE58" i="1" s="1"/>
  <c r="BH58" i="1" s="1"/>
  <c r="R20" i="51"/>
  <c r="CS23" i="1"/>
  <c r="DF23" i="1" s="1"/>
  <c r="EE23" i="1"/>
  <c r="ER23" i="1" s="1"/>
  <c r="I46" i="51"/>
  <c r="CJ49" i="1"/>
  <c r="CW49" i="1" s="1"/>
  <c r="I64" i="51"/>
  <c r="CJ67" i="1"/>
  <c r="CW67" i="1" s="1"/>
  <c r="P33" i="51"/>
  <c r="CQ36" i="1"/>
  <c r="DD36" i="1" s="1"/>
  <c r="CQ38" i="1"/>
  <c r="DD38" i="1" s="1"/>
  <c r="CD38" i="1"/>
  <c r="O21" i="38"/>
  <c r="Q21" i="1"/>
  <c r="BH46" i="1"/>
  <c r="N66" i="51"/>
  <c r="CB69" i="1"/>
  <c r="EA69" i="1"/>
  <c r="EN69" i="1" s="1"/>
  <c r="CO69" i="1"/>
  <c r="DB69" i="1" s="1"/>
  <c r="EA62" i="1"/>
  <c r="EN62" i="1" s="1"/>
  <c r="CB62" i="1"/>
  <c r="CO62" i="1"/>
  <c r="DB62" i="1" s="1"/>
  <c r="N59" i="51"/>
  <c r="CB20" i="1"/>
  <c r="N17" i="51"/>
  <c r="EA20" i="1"/>
  <c r="EN20" i="1" s="1"/>
  <c r="CO20" i="1"/>
  <c r="DB20" i="1" s="1"/>
  <c r="CB61" i="1"/>
  <c r="CO61" i="1"/>
  <c r="DB61" i="1" s="1"/>
  <c r="EA61" i="1"/>
  <c r="EN61" i="1" s="1"/>
  <c r="N58" i="51"/>
  <c r="CO26" i="1"/>
  <c r="DB26" i="1" s="1"/>
  <c r="EA26" i="1"/>
  <c r="EN26" i="1" s="1"/>
  <c r="CB26" i="1"/>
  <c r="N23" i="51"/>
  <c r="CB63" i="1"/>
  <c r="CO63" i="1"/>
  <c r="DB63" i="1" s="1"/>
  <c r="EA63" i="1"/>
  <c r="EN63" i="1" s="1"/>
  <c r="N60" i="51"/>
  <c r="CO65" i="1"/>
  <c r="DB65" i="1" s="1"/>
  <c r="CB65" i="1"/>
  <c r="EA65" i="1"/>
  <c r="EN65" i="1" s="1"/>
  <c r="N62" i="51"/>
  <c r="N54" i="51"/>
  <c r="EA57" i="1"/>
  <c r="EN57" i="1" s="1"/>
  <c r="CB57" i="1"/>
  <c r="CO57" i="1"/>
  <c r="DB57" i="1" s="1"/>
  <c r="EA21" i="1"/>
  <c r="EN21" i="1" s="1"/>
  <c r="CB21" i="1"/>
  <c r="CO21" i="1"/>
  <c r="DB21" i="1" s="1"/>
  <c r="N18" i="51"/>
  <c r="N31" i="51"/>
  <c r="EA34" i="1"/>
  <c r="EN34" i="1" s="1"/>
  <c r="CO34" i="1"/>
  <c r="DB34" i="1" s="1"/>
  <c r="CB34" i="1"/>
  <c r="CB43" i="1"/>
  <c r="N40" i="51"/>
  <c r="EA43" i="1"/>
  <c r="EN43" i="1" s="1"/>
  <c r="CO43" i="1"/>
  <c r="DB43" i="1" s="1"/>
  <c r="CB53" i="1"/>
  <c r="N50" i="51"/>
  <c r="CO53" i="1"/>
  <c r="DB53" i="1" s="1"/>
  <c r="EA53" i="1"/>
  <c r="EN53" i="1" s="1"/>
  <c r="CO38" i="1"/>
  <c r="DB38" i="1" s="1"/>
  <c r="CB38" i="1"/>
  <c r="N35" i="51"/>
  <c r="EA38" i="1"/>
  <c r="EN38" i="1" s="1"/>
  <c r="N64" i="51"/>
  <c r="EA67" i="1"/>
  <c r="EN67" i="1" s="1"/>
  <c r="CO67" i="1"/>
  <c r="DB67" i="1" s="1"/>
  <c r="CB67" i="1"/>
  <c r="CO17" i="1"/>
  <c r="DB17" i="1" s="1"/>
  <c r="N14" i="51"/>
  <c r="EA17" i="1"/>
  <c r="EN17" i="1" s="1"/>
  <c r="CB17" i="1"/>
  <c r="CO31" i="1"/>
  <c r="DB31" i="1" s="1"/>
  <c r="N28" i="51"/>
  <c r="EA31" i="1"/>
  <c r="EN31" i="1" s="1"/>
  <c r="CB31" i="1"/>
  <c r="CO70" i="1"/>
  <c r="DB70" i="1" s="1"/>
  <c r="CB70" i="1"/>
  <c r="N67" i="51"/>
  <c r="EA70" i="1"/>
  <c r="EN70" i="1" s="1"/>
  <c r="CO75" i="1"/>
  <c r="DB75" i="1" s="1"/>
  <c r="CB75" i="1"/>
  <c r="EA75" i="1"/>
  <c r="EN75" i="1" s="1"/>
  <c r="N72" i="51"/>
  <c r="CL15" i="1"/>
  <c r="CY15" i="1" s="1"/>
  <c r="K12" i="51"/>
  <c r="CJ41" i="1"/>
  <c r="CW41" i="1" s="1"/>
  <c r="I38" i="51"/>
  <c r="CJ25" i="1"/>
  <c r="CW25" i="1" s="1"/>
  <c r="I22" i="51"/>
  <c r="BN68" i="1"/>
  <c r="BM68" i="1"/>
  <c r="BH68" i="1"/>
  <c r="BM76" i="1"/>
  <c r="BH76" i="1"/>
  <c r="BN73" i="1"/>
  <c r="BH73" i="1"/>
  <c r="BN72" i="1"/>
  <c r="BH72" i="1"/>
  <c r="BH71" i="1"/>
  <c r="BN71" i="1"/>
  <c r="CF23" i="1"/>
  <c r="F87" i="53"/>
  <c r="EF34" i="1"/>
  <c r="BE34" i="1" s="1"/>
  <c r="BH34" i="1" s="1"/>
  <c r="F82" i="38"/>
  <c r="EF27" i="1"/>
  <c r="BE27" i="1" s="1"/>
  <c r="BH27" i="1" s="1"/>
  <c r="EF39" i="1"/>
  <c r="BE39" i="1" s="1"/>
  <c r="BH39" i="1" s="1"/>
  <c r="DV41" i="1"/>
  <c r="EI41" i="1" s="1"/>
  <c r="BW41" i="1"/>
  <c r="DV21" i="1"/>
  <c r="EI21" i="1" s="1"/>
  <c r="BW21" i="1"/>
  <c r="DV49" i="1"/>
  <c r="EI49" i="1" s="1"/>
  <c r="BW49" i="1"/>
  <c r="I19" i="51"/>
  <c r="CJ22" i="1"/>
  <c r="CW22" i="1" s="1"/>
  <c r="BW35" i="1"/>
  <c r="DV35" i="1"/>
  <c r="EI35" i="1" s="1"/>
  <c r="I47" i="51"/>
  <c r="CJ50" i="1"/>
  <c r="CW50" i="1" s="1"/>
  <c r="CE31" i="1"/>
  <c r="CR31" i="1"/>
  <c r="DE31" i="1" s="1"/>
  <c r="Q28" i="51"/>
  <c r="ED31" i="1"/>
  <c r="EQ31" i="1" s="1"/>
  <c r="CR11" i="1"/>
  <c r="DE11" i="1" s="1"/>
  <c r="Q8" i="51"/>
  <c r="ED11" i="1"/>
  <c r="EQ11" i="1" s="1"/>
  <c r="CE11" i="1"/>
  <c r="Q67" i="51"/>
  <c r="CE70" i="1"/>
  <c r="ED70" i="1"/>
  <c r="EQ70" i="1" s="1"/>
  <c r="CR70" i="1"/>
  <c r="DE70" i="1" s="1"/>
  <c r="AW35" i="1"/>
  <c r="P35" i="55"/>
  <c r="DZ73" i="1"/>
  <c r="EM73" i="1" s="1"/>
  <c r="CA73" i="1"/>
  <c r="M11" i="51"/>
  <c r="CN14" i="1"/>
  <c r="DA14" i="1" s="1"/>
  <c r="CN16" i="1"/>
  <c r="DA16" i="1" s="1"/>
  <c r="M13" i="51"/>
  <c r="M25" i="51"/>
  <c r="CN28" i="1"/>
  <c r="DA28" i="1" s="1"/>
  <c r="M14" i="51"/>
  <c r="CN17" i="1"/>
  <c r="DA17" i="1" s="1"/>
  <c r="M26" i="51"/>
  <c r="CN29" i="1"/>
  <c r="DA29" i="1" s="1"/>
  <c r="CA33" i="1"/>
  <c r="DZ33" i="1"/>
  <c r="EM33" i="1" s="1"/>
  <c r="DZ71" i="1"/>
  <c r="EM71" i="1" s="1"/>
  <c r="CA71" i="1"/>
  <c r="DW45" i="1"/>
  <c r="EJ45" i="1" s="1"/>
  <c r="BX45" i="1"/>
  <c r="DW61" i="1"/>
  <c r="EJ61" i="1" s="1"/>
  <c r="BX61" i="1"/>
  <c r="J32" i="51"/>
  <c r="CK35" i="1"/>
  <c r="CX35" i="1" s="1"/>
  <c r="J71" i="51"/>
  <c r="CK74" i="1"/>
  <c r="CX74" i="1" s="1"/>
  <c r="CK72" i="1"/>
  <c r="CX72" i="1" s="1"/>
  <c r="J69" i="51"/>
  <c r="DW41" i="1"/>
  <c r="EJ41" i="1" s="1"/>
  <c r="BX41" i="1"/>
  <c r="BX46" i="1"/>
  <c r="CK57" i="1"/>
  <c r="CX57" i="1" s="1"/>
  <c r="J54" i="51"/>
  <c r="BY60" i="1"/>
  <c r="K14" i="51"/>
  <c r="CL17" i="1"/>
  <c r="CY17" i="1" s="1"/>
  <c r="DX14" i="1"/>
  <c r="EK14" i="1" s="1"/>
  <c r="BY14" i="1"/>
  <c r="DX78" i="1"/>
  <c r="EK78" i="1" s="1"/>
  <c r="BY78" i="1"/>
  <c r="K58" i="51"/>
  <c r="CL61" i="1"/>
  <c r="CY61" i="1" s="1"/>
  <c r="CL59" i="1"/>
  <c r="CY59" i="1" s="1"/>
  <c r="K56" i="51"/>
  <c r="K29" i="51"/>
  <c r="CL32" i="1"/>
  <c r="CY32" i="1" s="1"/>
  <c r="K61" i="51"/>
  <c r="CL64" i="1"/>
  <c r="CY64" i="1" s="1"/>
  <c r="BY33" i="1"/>
  <c r="DX33" i="1"/>
  <c r="EK33" i="1" s="1"/>
  <c r="DX32" i="1"/>
  <c r="EK32" i="1" s="1"/>
  <c r="BY32" i="1"/>
  <c r="L64" i="51"/>
  <c r="CM67" i="1"/>
  <c r="CZ67" i="1" s="1"/>
  <c r="DY23" i="1"/>
  <c r="EL23" i="1" s="1"/>
  <c r="BZ23" i="1"/>
  <c r="BZ72" i="1"/>
  <c r="DY72" i="1"/>
  <c r="EL72" i="1" s="1"/>
  <c r="L10" i="51"/>
  <c r="CM13" i="1"/>
  <c r="CZ13" i="1" s="1"/>
  <c r="L57" i="51"/>
  <c r="CM60" i="1"/>
  <c r="CZ60" i="1" s="1"/>
  <c r="BZ24" i="1"/>
  <c r="DY24" i="1"/>
  <c r="EL24" i="1" s="1"/>
  <c r="DY51" i="1"/>
  <c r="EL51" i="1" s="1"/>
  <c r="BZ51" i="1"/>
  <c r="BZ56" i="1"/>
  <c r="DY56" i="1"/>
  <c r="EL56" i="1" s="1"/>
  <c r="L52" i="51"/>
  <c r="CM55" i="1"/>
  <c r="CZ55" i="1" s="1"/>
  <c r="J28" i="51"/>
  <c r="CK31" i="1"/>
  <c r="CX31" i="1" s="1"/>
  <c r="Q44" i="51"/>
  <c r="CE47" i="1"/>
  <c r="ED47" i="1"/>
  <c r="EQ47" i="1" s="1"/>
  <c r="CR47" i="1"/>
  <c r="DE47" i="1" s="1"/>
  <c r="DX28" i="1"/>
  <c r="EK28" i="1" s="1"/>
  <c r="CL28" i="1"/>
  <c r="CY28" i="1" s="1"/>
  <c r="CK38" i="1"/>
  <c r="CX38" i="1" s="1"/>
  <c r="J35" i="51"/>
  <c r="CK33" i="1"/>
  <c r="CX33" i="1" s="1"/>
  <c r="J30" i="51"/>
  <c r="AW22" i="1"/>
  <c r="P22" i="55"/>
  <c r="O19" i="39"/>
  <c r="U19" i="1"/>
  <c r="CO79" i="1"/>
  <c r="DB79" i="1" s="1"/>
  <c r="N76" i="51"/>
  <c r="EA79" i="1"/>
  <c r="EN79" i="1" s="1"/>
  <c r="CB79" i="1"/>
  <c r="EA39" i="1"/>
  <c r="EN39" i="1" s="1"/>
  <c r="CO39" i="1"/>
  <c r="DB39" i="1" s="1"/>
  <c r="N36" i="51"/>
  <c r="CB39" i="1"/>
  <c r="EA51" i="1"/>
  <c r="EN51" i="1" s="1"/>
  <c r="CB51" i="1"/>
  <c r="CO51" i="1"/>
  <c r="DB51" i="1" s="1"/>
  <c r="N48" i="51"/>
  <c r="CO58" i="1"/>
  <c r="DB58" i="1" s="1"/>
  <c r="CB58" i="1"/>
  <c r="N55" i="51"/>
  <c r="EA58" i="1"/>
  <c r="EN58" i="1" s="1"/>
  <c r="CB77" i="1"/>
  <c r="CO77" i="1"/>
  <c r="DB77" i="1" s="1"/>
  <c r="EA77" i="1"/>
  <c r="EN77" i="1" s="1"/>
  <c r="N74" i="51"/>
  <c r="N45" i="51"/>
  <c r="EA48" i="1"/>
  <c r="EN48" i="1" s="1"/>
  <c r="CB48" i="1"/>
  <c r="CO48" i="1"/>
  <c r="DB48" i="1" s="1"/>
  <c r="N15" i="51"/>
  <c r="CB18" i="1"/>
  <c r="CO18" i="1"/>
  <c r="DB18" i="1" s="1"/>
  <c r="EA18" i="1"/>
  <c r="EN18" i="1" s="1"/>
  <c r="CO24" i="1"/>
  <c r="DB24" i="1" s="1"/>
  <c r="EA24" i="1"/>
  <c r="EN24" i="1" s="1"/>
  <c r="N21" i="51"/>
  <c r="CB24" i="1"/>
  <c r="CO47" i="1"/>
  <c r="DB47" i="1" s="1"/>
  <c r="N44" i="51"/>
  <c r="EA47" i="1"/>
  <c r="EN47" i="1" s="1"/>
  <c r="CB47" i="1"/>
  <c r="CB49" i="1"/>
  <c r="CO49" i="1"/>
  <c r="DB49" i="1" s="1"/>
  <c r="N46" i="51"/>
  <c r="EA49" i="1"/>
  <c r="EN49" i="1" s="1"/>
  <c r="CO46" i="1"/>
  <c r="DB46" i="1" s="1"/>
  <c r="N43" i="51"/>
  <c r="CB46" i="1"/>
  <c r="EA46" i="1"/>
  <c r="EN46" i="1" s="1"/>
  <c r="EA74" i="1"/>
  <c r="EN74" i="1" s="1"/>
  <c r="CO74" i="1"/>
  <c r="DB74" i="1" s="1"/>
  <c r="N71" i="51"/>
  <c r="CB74" i="1"/>
  <c r="CO30" i="1"/>
  <c r="DB30" i="1" s="1"/>
  <c r="CB30" i="1"/>
  <c r="EA30" i="1"/>
  <c r="EN30" i="1" s="1"/>
  <c r="N27" i="51"/>
  <c r="EA11" i="1"/>
  <c r="EN11" i="1" s="1"/>
  <c r="CB11" i="1"/>
  <c r="N8" i="51"/>
  <c r="CO11" i="1"/>
  <c r="DB11" i="1" s="1"/>
  <c r="EA45" i="1"/>
  <c r="EN45" i="1" s="1"/>
  <c r="CB45" i="1"/>
  <c r="CO45" i="1"/>
  <c r="DB45" i="1" s="1"/>
  <c r="N42" i="51"/>
  <c r="N11" i="51"/>
  <c r="EA14" i="1"/>
  <c r="EN14" i="1" s="1"/>
  <c r="CO14" i="1"/>
  <c r="DB14" i="1" s="1"/>
  <c r="CB14" i="1"/>
  <c r="CO36" i="1"/>
  <c r="DB36" i="1" s="1"/>
  <c r="N33" i="51"/>
  <c r="EA36" i="1"/>
  <c r="EN36" i="1" s="1"/>
  <c r="CB36" i="1"/>
  <c r="CO37" i="1"/>
  <c r="DB37" i="1" s="1"/>
  <c r="CB37" i="1"/>
  <c r="N34" i="51"/>
  <c r="EA37" i="1"/>
  <c r="EN37" i="1" s="1"/>
  <c r="ED18" i="1"/>
  <c r="EQ18" i="1" s="1"/>
  <c r="CE18" i="1"/>
  <c r="Q15" i="51"/>
  <c r="CR18" i="1"/>
  <c r="DE18" i="1" s="1"/>
  <c r="BW39" i="1"/>
  <c r="DV39" i="1"/>
  <c r="EI39" i="1" s="1"/>
  <c r="DV43" i="1"/>
  <c r="EI43" i="1" s="1"/>
  <c r="BW43" i="1"/>
  <c r="DV77" i="1"/>
  <c r="EI77" i="1" s="1"/>
  <c r="BW77" i="1"/>
  <c r="I12" i="51"/>
  <c r="CJ15" i="1"/>
  <c r="CW15" i="1" s="1"/>
  <c r="DV29" i="1"/>
  <c r="EI29" i="1" s="1"/>
  <c r="BW29" i="1"/>
  <c r="CJ74" i="1"/>
  <c r="CW74" i="1" s="1"/>
  <c r="I71" i="51"/>
  <c r="I21" i="51"/>
  <c r="CJ24" i="1"/>
  <c r="CW24" i="1" s="1"/>
  <c r="BW68" i="1"/>
  <c r="DV68" i="1"/>
  <c r="EI68" i="1" s="1"/>
  <c r="BW42" i="1"/>
  <c r="DV42" i="1"/>
  <c r="EI42" i="1" s="1"/>
  <c r="BW36" i="1"/>
  <c r="DV36" i="1"/>
  <c r="EI36" i="1" s="1"/>
  <c r="DV61" i="1"/>
  <c r="EI61" i="1" s="1"/>
  <c r="BW61" i="1"/>
  <c r="I65" i="51"/>
  <c r="CJ68" i="1"/>
  <c r="CW68" i="1" s="1"/>
  <c r="BW37" i="1"/>
  <c r="DV37" i="1"/>
  <c r="EI37" i="1" s="1"/>
  <c r="CJ64" i="1"/>
  <c r="CW64" i="1" s="1"/>
  <c r="I61" i="51"/>
  <c r="DV50" i="1"/>
  <c r="EI50" i="1" s="1"/>
  <c r="BW50" i="1"/>
  <c r="DV56" i="1"/>
  <c r="EI56" i="1" s="1"/>
  <c r="BW56" i="1"/>
  <c r="BW65" i="1"/>
  <c r="DV65" i="1"/>
  <c r="EI65" i="1" s="1"/>
  <c r="DV24" i="1"/>
  <c r="EI24" i="1" s="1"/>
  <c r="BW24" i="1"/>
  <c r="BW70" i="1"/>
  <c r="DV70" i="1"/>
  <c r="EI70" i="1" s="1"/>
  <c r="CJ43" i="1"/>
  <c r="CW43" i="1" s="1"/>
  <c r="I40" i="51"/>
  <c r="BW27" i="1"/>
  <c r="DV76" i="1"/>
  <c r="EI76" i="1" s="1"/>
  <c r="BW76" i="1"/>
  <c r="CJ78" i="1"/>
  <c r="CW78" i="1" s="1"/>
  <c r="I75" i="51"/>
  <c r="BW64" i="1"/>
  <c r="DV64" i="1"/>
  <c r="EI64" i="1" s="1"/>
  <c r="BW28" i="1"/>
  <c r="CJ80" i="1"/>
  <c r="CW80" i="1" s="1"/>
  <c r="I77" i="51"/>
  <c r="O11" i="39"/>
  <c r="K83" i="39"/>
  <c r="CL38" i="1"/>
  <c r="CY38" i="1" s="1"/>
  <c r="K35" i="51"/>
  <c r="CR21" i="1"/>
  <c r="DE21" i="1" s="1"/>
  <c r="CE21" i="1"/>
  <c r="Q18" i="51"/>
  <c r="ED21" i="1"/>
  <c r="EQ21" i="1" s="1"/>
  <c r="Q14" i="51"/>
  <c r="CE17" i="1"/>
  <c r="CR17" i="1"/>
  <c r="DE17" i="1" s="1"/>
  <c r="ED17" i="1"/>
  <c r="EQ17" i="1" s="1"/>
  <c r="CR61" i="1"/>
  <c r="DE61" i="1" s="1"/>
  <c r="ED61" i="1"/>
  <c r="EQ61" i="1" s="1"/>
  <c r="Q58" i="51"/>
  <c r="CE61" i="1"/>
  <c r="CR77" i="1"/>
  <c r="DE77" i="1" s="1"/>
  <c r="ED77" i="1"/>
  <c r="EQ77" i="1" s="1"/>
  <c r="CE77" i="1"/>
  <c r="Q74" i="51"/>
  <c r="Q65" i="51"/>
  <c r="ED68" i="1"/>
  <c r="EQ68" i="1" s="1"/>
  <c r="CR68" i="1"/>
  <c r="DE68" i="1" s="1"/>
  <c r="CE68" i="1"/>
  <c r="Q73" i="51"/>
  <c r="CE76" i="1"/>
  <c r="CR76" i="1"/>
  <c r="DE76" i="1" s="1"/>
  <c r="ED76" i="1"/>
  <c r="EQ76" i="1" s="1"/>
  <c r="CE64" i="1"/>
  <c r="CR64" i="1"/>
  <c r="DE64" i="1" s="1"/>
  <c r="Q61" i="51"/>
  <c r="ED64" i="1"/>
  <c r="EQ64" i="1" s="1"/>
  <c r="AW59" i="1"/>
  <c r="P59" i="55"/>
  <c r="CA44" i="1"/>
  <c r="DZ44" i="1"/>
  <c r="EM44" i="1" s="1"/>
  <c r="DZ64" i="1"/>
  <c r="EM64" i="1" s="1"/>
  <c r="CA64" i="1"/>
  <c r="M34" i="51"/>
  <c r="CN37" i="1"/>
  <c r="DA37" i="1" s="1"/>
  <c r="CN48" i="1"/>
  <c r="DA48" i="1" s="1"/>
  <c r="M45" i="51"/>
  <c r="DZ53" i="1"/>
  <c r="EM53" i="1" s="1"/>
  <c r="CA53" i="1"/>
  <c r="M66" i="51"/>
  <c r="CN69" i="1"/>
  <c r="DA69" i="1" s="1"/>
  <c r="DZ78" i="1"/>
  <c r="EM78" i="1" s="1"/>
  <c r="CA78" i="1"/>
  <c r="CA69" i="1"/>
  <c r="DZ69" i="1"/>
  <c r="EM69" i="1" s="1"/>
  <c r="M9" i="51"/>
  <c r="CN12" i="1"/>
  <c r="DA12" i="1" s="1"/>
  <c r="DZ57" i="1"/>
  <c r="EM57" i="1" s="1"/>
  <c r="CA57" i="1"/>
  <c r="M39" i="51"/>
  <c r="CN42" i="1"/>
  <c r="DA42" i="1" s="1"/>
  <c r="CN74" i="1"/>
  <c r="DA74" i="1" s="1"/>
  <c r="M71" i="51"/>
  <c r="M12" i="51"/>
  <c r="CN15" i="1"/>
  <c r="DA15" i="1" s="1"/>
  <c r="CN45" i="1"/>
  <c r="DA45" i="1" s="1"/>
  <c r="M42" i="51"/>
  <c r="CA58" i="1"/>
  <c r="DZ58" i="1"/>
  <c r="EM58" i="1" s="1"/>
  <c r="CA49" i="1"/>
  <c r="DZ49" i="1"/>
  <c r="EM49" i="1" s="1"/>
  <c r="CN50" i="1"/>
  <c r="DA50" i="1" s="1"/>
  <c r="M47" i="51"/>
  <c r="DZ42" i="1"/>
  <c r="EM42" i="1" s="1"/>
  <c r="CA42" i="1"/>
  <c r="CA18" i="1"/>
  <c r="DZ18" i="1"/>
  <c r="EM18" i="1" s="1"/>
  <c r="M65" i="51"/>
  <c r="CN68" i="1"/>
  <c r="DA68" i="1" s="1"/>
  <c r="M43" i="51"/>
  <c r="CN46" i="1"/>
  <c r="DA46" i="1" s="1"/>
  <c r="CA56" i="1"/>
  <c r="DZ56" i="1"/>
  <c r="EM56" i="1" s="1"/>
  <c r="CA43" i="1"/>
  <c r="DZ43" i="1"/>
  <c r="EM43" i="1" s="1"/>
  <c r="CA63" i="1"/>
  <c r="DZ63" i="1"/>
  <c r="EM63" i="1" s="1"/>
  <c r="CA70" i="1"/>
  <c r="DZ70" i="1"/>
  <c r="EM70" i="1" s="1"/>
  <c r="M32" i="51"/>
  <c r="CN35" i="1"/>
  <c r="DA35" i="1" s="1"/>
  <c r="CA30" i="1"/>
  <c r="DZ30" i="1"/>
  <c r="EM30" i="1" s="1"/>
  <c r="CN62" i="1"/>
  <c r="DA62" i="1" s="1"/>
  <c r="M59" i="51"/>
  <c r="M77" i="51"/>
  <c r="CN80" i="1"/>
  <c r="DA80" i="1" s="1"/>
  <c r="M29" i="51"/>
  <c r="CN32" i="1"/>
  <c r="DA32" i="1" s="1"/>
  <c r="M24" i="51"/>
  <c r="CN27" i="1"/>
  <c r="DA27" i="1" s="1"/>
  <c r="M16" i="51"/>
  <c r="CN19" i="1"/>
  <c r="DA19" i="1" s="1"/>
  <c r="M18" i="51"/>
  <c r="CN21" i="1"/>
  <c r="DA21" i="1" s="1"/>
  <c r="CA13" i="1"/>
  <c r="DZ13" i="1"/>
  <c r="EM13" i="1" s="1"/>
  <c r="CA25" i="1"/>
  <c r="DZ25" i="1"/>
  <c r="EM25" i="1" s="1"/>
  <c r="BX37" i="1"/>
  <c r="DW37" i="1"/>
  <c r="EJ37" i="1" s="1"/>
  <c r="BX75" i="1"/>
  <c r="DW75" i="1"/>
  <c r="EJ75" i="1" s="1"/>
  <c r="DW62" i="1"/>
  <c r="EJ62" i="1" s="1"/>
  <c r="BX62" i="1"/>
  <c r="BX66" i="1"/>
  <c r="DW66" i="1"/>
  <c r="EJ66" i="1" s="1"/>
  <c r="CK20" i="1"/>
  <c r="CX20" i="1" s="1"/>
  <c r="J17" i="51"/>
  <c r="BX38" i="1"/>
  <c r="DW38" i="1"/>
  <c r="EJ38" i="1" s="1"/>
  <c r="BX34" i="1"/>
  <c r="BX33" i="1"/>
  <c r="DW33" i="1"/>
  <c r="EJ33" i="1" s="1"/>
  <c r="DW53" i="1"/>
  <c r="EJ53" i="1" s="1"/>
  <c r="BX53" i="1"/>
  <c r="J64" i="51"/>
  <c r="CK67" i="1"/>
  <c r="CX67" i="1" s="1"/>
  <c r="BX52" i="1"/>
  <c r="DW52" i="1"/>
  <c r="EJ52" i="1" s="1"/>
  <c r="DW40" i="1"/>
  <c r="EJ40" i="1" s="1"/>
  <c r="BX40" i="1"/>
  <c r="CK45" i="1"/>
  <c r="CX45" i="1" s="1"/>
  <c r="J42" i="51"/>
  <c r="DW28" i="1"/>
  <c r="EJ28" i="1" s="1"/>
  <c r="BX28" i="1"/>
  <c r="BX65" i="1"/>
  <c r="DW65" i="1"/>
  <c r="EJ65" i="1" s="1"/>
  <c r="CK69" i="1"/>
  <c r="CX69" i="1" s="1"/>
  <c r="J66" i="51"/>
  <c r="J68" i="51"/>
  <c r="CK71" i="1"/>
  <c r="CX71" i="1" s="1"/>
  <c r="DW47" i="1"/>
  <c r="EJ47" i="1" s="1"/>
  <c r="BX47" i="1"/>
  <c r="BX21" i="1"/>
  <c r="DW71" i="1"/>
  <c r="EJ71" i="1" s="1"/>
  <c r="BX71" i="1"/>
  <c r="J39" i="51"/>
  <c r="CK42" i="1"/>
  <c r="CX42" i="1" s="1"/>
  <c r="J26" i="51"/>
  <c r="CK29" i="1"/>
  <c r="CX29" i="1" s="1"/>
  <c r="DW69" i="1"/>
  <c r="EJ69" i="1" s="1"/>
  <c r="BX69" i="1"/>
  <c r="BX55" i="1"/>
  <c r="DW55" i="1"/>
  <c r="EJ55" i="1" s="1"/>
  <c r="BX60" i="1"/>
  <c r="DW60" i="1"/>
  <c r="EJ60" i="1" s="1"/>
  <c r="J72" i="51"/>
  <c r="CK75" i="1"/>
  <c r="CX75" i="1" s="1"/>
  <c r="CK63" i="1"/>
  <c r="CX63" i="1" s="1"/>
  <c r="J60" i="51"/>
  <c r="BY42" i="1"/>
  <c r="DX42" i="1"/>
  <c r="EK42" i="1" s="1"/>
  <c r="DX58" i="1"/>
  <c r="EK58" i="1" s="1"/>
  <c r="BY58" i="1"/>
  <c r="DX59" i="1"/>
  <c r="EK59" i="1" s="1"/>
  <c r="BY59" i="1"/>
  <c r="CL24" i="1"/>
  <c r="CY24" i="1" s="1"/>
  <c r="K21" i="51"/>
  <c r="BY22" i="1"/>
  <c r="DX22" i="1"/>
  <c r="EK22" i="1" s="1"/>
  <c r="DX20" i="1"/>
  <c r="EK20" i="1" s="1"/>
  <c r="BY20" i="1"/>
  <c r="BY53" i="1"/>
  <c r="DX53" i="1"/>
  <c r="EK53" i="1" s="1"/>
  <c r="CL34" i="1"/>
  <c r="CY34" i="1" s="1"/>
  <c r="K31" i="51"/>
  <c r="K24" i="51"/>
  <c r="CL27" i="1"/>
  <c r="CY27" i="1" s="1"/>
  <c r="BY13" i="1"/>
  <c r="DX13" i="1"/>
  <c r="EK13" i="1" s="1"/>
  <c r="CL77" i="1"/>
  <c r="CY77" i="1" s="1"/>
  <c r="K74" i="51"/>
  <c r="BY67" i="1"/>
  <c r="DX67" i="1"/>
  <c r="EK67" i="1" s="1"/>
  <c r="K17" i="51"/>
  <c r="CL20" i="1"/>
  <c r="CY20" i="1" s="1"/>
  <c r="CL30" i="1"/>
  <c r="CY30" i="1" s="1"/>
  <c r="K27" i="51"/>
  <c r="BY18" i="1"/>
  <c r="BY65" i="1"/>
  <c r="DX65" i="1"/>
  <c r="EK65" i="1" s="1"/>
  <c r="DX17" i="1"/>
  <c r="EK17" i="1" s="1"/>
  <c r="BY17" i="1"/>
  <c r="CL63" i="1"/>
  <c r="CY63" i="1" s="1"/>
  <c r="K60" i="51"/>
  <c r="DX48" i="1"/>
  <c r="EK48" i="1" s="1"/>
  <c r="BY48" i="1"/>
  <c r="CL13" i="1"/>
  <c r="CY13" i="1" s="1"/>
  <c r="K10" i="51"/>
  <c r="CL72" i="1"/>
  <c r="CY72" i="1" s="1"/>
  <c r="K69" i="51"/>
  <c r="CL68" i="1"/>
  <c r="CY68" i="1" s="1"/>
  <c r="K65" i="51"/>
  <c r="BY25" i="1"/>
  <c r="CL66" i="1"/>
  <c r="CY66" i="1" s="1"/>
  <c r="K63" i="51"/>
  <c r="CL55" i="1"/>
  <c r="CY55" i="1" s="1"/>
  <c r="K52" i="51"/>
  <c r="BY47" i="1"/>
  <c r="BZ26" i="1"/>
  <c r="DY26" i="1"/>
  <c r="EL26" i="1" s="1"/>
  <c r="BZ65" i="1"/>
  <c r="DY65" i="1"/>
  <c r="EL65" i="1" s="1"/>
  <c r="BZ37" i="1"/>
  <c r="DY37" i="1"/>
  <c r="EL37" i="1" s="1"/>
  <c r="DY80" i="1"/>
  <c r="EL80" i="1" s="1"/>
  <c r="CM80" i="1"/>
  <c r="CZ80" i="1" s="1"/>
  <c r="L77" i="51"/>
  <c r="BZ48" i="1"/>
  <c r="DY48" i="1"/>
  <c r="EL48" i="1" s="1"/>
  <c r="DY32" i="1"/>
  <c r="EL32" i="1" s="1"/>
  <c r="CM32" i="1"/>
  <c r="CZ32" i="1" s="1"/>
  <c r="L29" i="51"/>
  <c r="DY14" i="1"/>
  <c r="EL14" i="1" s="1"/>
  <c r="CM14" i="1"/>
  <c r="CZ14" i="1" s="1"/>
  <c r="L11" i="51"/>
  <c r="CM58" i="1"/>
  <c r="CZ58" i="1" s="1"/>
  <c r="L55" i="51"/>
  <c r="DY11" i="1"/>
  <c r="EL11" i="1" s="1"/>
  <c r="BZ11" i="1"/>
  <c r="DY42" i="1"/>
  <c r="EL42" i="1" s="1"/>
  <c r="L39" i="51"/>
  <c r="CM42" i="1"/>
  <c r="CZ42" i="1" s="1"/>
  <c r="DY21" i="1"/>
  <c r="EL21" i="1" s="1"/>
  <c r="L18" i="51"/>
  <c r="CM21" i="1"/>
  <c r="CZ21" i="1" s="1"/>
  <c r="DY41" i="1"/>
  <c r="EL41" i="1" s="1"/>
  <c r="BZ41" i="1"/>
  <c r="L24" i="51"/>
  <c r="CM27" i="1"/>
  <c r="CZ27" i="1" s="1"/>
  <c r="CM64" i="1"/>
  <c r="CZ64" i="1" s="1"/>
  <c r="L61" i="51"/>
  <c r="L76" i="51"/>
  <c r="CM79" i="1"/>
  <c r="CZ79" i="1" s="1"/>
  <c r="DY36" i="1"/>
  <c r="EL36" i="1" s="1"/>
  <c r="BZ36" i="1"/>
  <c r="L44" i="51"/>
  <c r="CM47" i="1"/>
  <c r="CZ47" i="1" s="1"/>
  <c r="BZ54" i="1"/>
  <c r="DY54" i="1"/>
  <c r="EL54" i="1" s="1"/>
  <c r="DY17" i="1"/>
  <c r="EL17" i="1" s="1"/>
  <c r="BZ17" i="1"/>
  <c r="BZ30" i="1"/>
  <c r="DY30" i="1"/>
  <c r="EL30" i="1" s="1"/>
  <c r="CM69" i="1"/>
  <c r="CZ69" i="1" s="1"/>
  <c r="L66" i="51"/>
  <c r="L48" i="51"/>
  <c r="CM51" i="1"/>
  <c r="CZ51" i="1" s="1"/>
  <c r="L71" i="51"/>
  <c r="CM74" i="1"/>
  <c r="CZ74" i="1" s="1"/>
  <c r="DY16" i="1"/>
  <c r="EL16" i="1" s="1"/>
  <c r="BZ16" i="1"/>
  <c r="DY12" i="1"/>
  <c r="EL12" i="1" s="1"/>
  <c r="L9" i="51"/>
  <c r="CM12" i="1"/>
  <c r="CZ12" i="1" s="1"/>
  <c r="DY63" i="1"/>
  <c r="EL63" i="1" s="1"/>
  <c r="BZ63" i="1"/>
  <c r="CM59" i="1"/>
  <c r="CZ59" i="1" s="1"/>
  <c r="L56" i="51"/>
  <c r="BZ33" i="1"/>
  <c r="DY33" i="1"/>
  <c r="EL33" i="1" s="1"/>
  <c r="L15" i="51"/>
  <c r="CM18" i="1"/>
  <c r="CZ18" i="1" s="1"/>
  <c r="L34" i="51"/>
  <c r="CM37" i="1"/>
  <c r="CZ37" i="1" s="1"/>
  <c r="DY70" i="1"/>
  <c r="EL70" i="1" s="1"/>
  <c r="BZ70" i="1"/>
  <c r="L74" i="51"/>
  <c r="CM77" i="1"/>
  <c r="CZ77" i="1" s="1"/>
  <c r="DY62" i="1"/>
  <c r="EL62" i="1" s="1"/>
  <c r="BZ62" i="1"/>
  <c r="BZ77" i="1"/>
  <c r="DY77" i="1"/>
  <c r="EL77" i="1" s="1"/>
  <c r="K13" i="51"/>
  <c r="CL16" i="1"/>
  <c r="CY16" i="1" s="1"/>
  <c r="CR52" i="1"/>
  <c r="DE52" i="1" s="1"/>
  <c r="Q49" i="51"/>
  <c r="Q27" i="1"/>
  <c r="DV27" i="1" s="1"/>
  <c r="EI27" i="1" s="1"/>
  <c r="Q34" i="1"/>
  <c r="Q23" i="1"/>
  <c r="Q53" i="1"/>
  <c r="Q38" i="1"/>
  <c r="Q45" i="1"/>
  <c r="AW58" i="1"/>
  <c r="AW57" i="1"/>
  <c r="AW45" i="1"/>
  <c r="F88" i="42"/>
  <c r="F86" i="42"/>
  <c r="U15" i="1"/>
  <c r="DW15" i="1" s="1"/>
  <c r="EJ15" i="1" s="1"/>
  <c r="U11" i="1"/>
  <c r="Y57" i="1"/>
  <c r="Y52" i="1"/>
  <c r="F82" i="39"/>
  <c r="Y47" i="1"/>
  <c r="Q46" i="1"/>
  <c r="F82" i="40"/>
  <c r="DV73" i="1"/>
  <c r="EI73" i="1" s="1"/>
  <c r="BW73" i="1"/>
  <c r="CJ19" i="1"/>
  <c r="CW19" i="1" s="1"/>
  <c r="I16" i="51"/>
  <c r="CJ42" i="1"/>
  <c r="CW42" i="1" s="1"/>
  <c r="I39" i="51"/>
  <c r="DV30" i="1"/>
  <c r="EI30" i="1" s="1"/>
  <c r="BW30" i="1"/>
  <c r="BW32" i="1"/>
  <c r="CJ16" i="1"/>
  <c r="CW16" i="1" s="1"/>
  <c r="I13" i="51"/>
  <c r="I52" i="51"/>
  <c r="CJ55" i="1"/>
  <c r="CW55" i="1" s="1"/>
  <c r="DV63" i="1"/>
  <c r="EI63" i="1" s="1"/>
  <c r="BW63" i="1"/>
  <c r="ED60" i="1"/>
  <c r="EQ60" i="1" s="1"/>
  <c r="CR60" i="1"/>
  <c r="DE60" i="1" s="1"/>
  <c r="CE60" i="1"/>
  <c r="Q57" i="51"/>
  <c r="CR49" i="1"/>
  <c r="DE49" i="1" s="1"/>
  <c r="Q46" i="51"/>
  <c r="CE49" i="1"/>
  <c r="ED49" i="1"/>
  <c r="EQ49" i="1" s="1"/>
  <c r="Q24" i="51"/>
  <c r="ED27" i="1"/>
  <c r="EQ27" i="1" s="1"/>
  <c r="CE27" i="1"/>
  <c r="CR27" i="1"/>
  <c r="DE27" i="1" s="1"/>
  <c r="CR73" i="1"/>
  <c r="DE73" i="1" s="1"/>
  <c r="Q70" i="51"/>
  <c r="CE73" i="1"/>
  <c r="ED73" i="1"/>
  <c r="EQ73" i="1" s="1"/>
  <c r="CE71" i="1"/>
  <c r="CR71" i="1"/>
  <c r="DE71" i="1" s="1"/>
  <c r="ED71" i="1"/>
  <c r="EQ71" i="1" s="1"/>
  <c r="Q68" i="51"/>
  <c r="CA16" i="1"/>
  <c r="DZ16" i="1"/>
  <c r="EM16" i="1" s="1"/>
  <c r="CN67" i="1"/>
  <c r="DA67" i="1" s="1"/>
  <c r="M64" i="51"/>
  <c r="M49" i="51"/>
  <c r="CN52" i="1"/>
  <c r="DA52" i="1" s="1"/>
  <c r="DZ59" i="1"/>
  <c r="EM59" i="1" s="1"/>
  <c r="CA59" i="1"/>
  <c r="M19" i="51"/>
  <c r="CN22" i="1"/>
  <c r="DA22" i="1" s="1"/>
  <c r="M60" i="51"/>
  <c r="CN63" i="1"/>
  <c r="DA63" i="1" s="1"/>
  <c r="M48" i="51"/>
  <c r="CN51" i="1"/>
  <c r="DA51" i="1" s="1"/>
  <c r="M31" i="51"/>
  <c r="CN34" i="1"/>
  <c r="DA34" i="1" s="1"/>
  <c r="DZ40" i="1"/>
  <c r="EM40" i="1" s="1"/>
  <c r="CA40" i="1"/>
  <c r="DZ36" i="1"/>
  <c r="EM36" i="1" s="1"/>
  <c r="CA36" i="1"/>
  <c r="M30" i="51"/>
  <c r="CN33" i="1"/>
  <c r="DA33" i="1" s="1"/>
  <c r="M37" i="51"/>
  <c r="CN40" i="1"/>
  <c r="DA40" i="1" s="1"/>
  <c r="M8" i="51"/>
  <c r="CN11" i="1"/>
  <c r="DA11" i="1" s="1"/>
  <c r="CA26" i="1"/>
  <c r="DZ26" i="1"/>
  <c r="EM26" i="1" s="1"/>
  <c r="CN75" i="1"/>
  <c r="DA75" i="1" s="1"/>
  <c r="M72" i="51"/>
  <c r="CK58" i="1"/>
  <c r="CX58" i="1" s="1"/>
  <c r="J55" i="51"/>
  <c r="BX27" i="1"/>
  <c r="DW27" i="1"/>
  <c r="EJ27" i="1" s="1"/>
  <c r="BX15" i="1"/>
  <c r="J49" i="51"/>
  <c r="CK52" i="1"/>
  <c r="CX52" i="1" s="1"/>
  <c r="BX24" i="1"/>
  <c r="J24" i="51"/>
  <c r="CK27" i="1"/>
  <c r="CX27" i="1" s="1"/>
  <c r="CK36" i="1"/>
  <c r="CX36" i="1" s="1"/>
  <c r="J33" i="51"/>
  <c r="CK44" i="1"/>
  <c r="CX44" i="1" s="1"/>
  <c r="J41" i="51"/>
  <c r="J37" i="51"/>
  <c r="CK40" i="1"/>
  <c r="CX40" i="1" s="1"/>
  <c r="DW30" i="1"/>
  <c r="EJ30" i="1" s="1"/>
  <c r="BX30" i="1"/>
  <c r="J46" i="51"/>
  <c r="CK49" i="1"/>
  <c r="CX49" i="1" s="1"/>
  <c r="DX62" i="1"/>
  <c r="EK62" i="1" s="1"/>
  <c r="BY62" i="1"/>
  <c r="BY69" i="1"/>
  <c r="DX69" i="1"/>
  <c r="EK69" i="1" s="1"/>
  <c r="BY44" i="1"/>
  <c r="BY40" i="1"/>
  <c r="DX40" i="1"/>
  <c r="EK40" i="1" s="1"/>
  <c r="CL23" i="1"/>
  <c r="CY23" i="1" s="1"/>
  <c r="K20" i="51"/>
  <c r="CL80" i="1"/>
  <c r="CY80" i="1" s="1"/>
  <c r="K77" i="51"/>
  <c r="DX46" i="1"/>
  <c r="EK46" i="1" s="1"/>
  <c r="BY46" i="1"/>
  <c r="CL74" i="1"/>
  <c r="CY74" i="1" s="1"/>
  <c r="K71" i="51"/>
  <c r="K39" i="51"/>
  <c r="CL42" i="1"/>
  <c r="CY42" i="1" s="1"/>
  <c r="BY75" i="1"/>
  <c r="DX75" i="1"/>
  <c r="EK75" i="1" s="1"/>
  <c r="CL36" i="1"/>
  <c r="CY36" i="1" s="1"/>
  <c r="K33" i="51"/>
  <c r="K36" i="51"/>
  <c r="CL39" i="1"/>
  <c r="CY39" i="1" s="1"/>
  <c r="L54" i="51"/>
  <c r="CM57" i="1"/>
  <c r="CZ57" i="1" s="1"/>
  <c r="DY50" i="1"/>
  <c r="EL50" i="1" s="1"/>
  <c r="BZ50" i="1"/>
  <c r="DY60" i="1"/>
  <c r="EL60" i="1" s="1"/>
  <c r="BZ60" i="1"/>
  <c r="BZ15" i="1"/>
  <c r="DY15" i="1"/>
  <c r="EL15" i="1" s="1"/>
  <c r="DY34" i="1"/>
  <c r="EL34" i="1" s="1"/>
  <c r="L31" i="51"/>
  <c r="CM34" i="1"/>
  <c r="CZ34" i="1" s="1"/>
  <c r="L42" i="51"/>
  <c r="CM45" i="1"/>
  <c r="CZ45" i="1" s="1"/>
  <c r="BZ73" i="1"/>
  <c r="DY73" i="1"/>
  <c r="EL73" i="1" s="1"/>
  <c r="BZ67" i="1"/>
  <c r="DY67" i="1"/>
  <c r="EL67" i="1" s="1"/>
  <c r="BZ28" i="1"/>
  <c r="DY28" i="1"/>
  <c r="EL28" i="1" s="1"/>
  <c r="CM31" i="1"/>
  <c r="CZ31" i="1" s="1"/>
  <c r="L28" i="51"/>
  <c r="BZ31" i="1"/>
  <c r="DY31" i="1"/>
  <c r="EL31" i="1" s="1"/>
  <c r="CL51" i="1"/>
  <c r="CY51" i="1" s="1"/>
  <c r="K48" i="51"/>
  <c r="ED56" i="1"/>
  <c r="EQ56" i="1" s="1"/>
  <c r="CR56" i="1"/>
  <c r="DE56" i="1" s="1"/>
  <c r="CE56" i="1"/>
  <c r="Q53" i="51"/>
  <c r="P50" i="55"/>
  <c r="AW50" i="1"/>
  <c r="AW41" i="1"/>
  <c r="P41" i="55"/>
  <c r="AW36" i="1"/>
  <c r="P36" i="55"/>
  <c r="Q26" i="1"/>
  <c r="O26" i="38"/>
  <c r="O13" i="39"/>
  <c r="U13" i="1"/>
  <c r="N22" i="51"/>
  <c r="CO25" i="1"/>
  <c r="DB25" i="1" s="1"/>
  <c r="CB25" i="1"/>
  <c r="EA25" i="1"/>
  <c r="EN25" i="1" s="1"/>
  <c r="CO68" i="1"/>
  <c r="DB68" i="1" s="1"/>
  <c r="N65" i="51"/>
  <c r="EA68" i="1"/>
  <c r="EN68" i="1" s="1"/>
  <c r="CB68" i="1"/>
  <c r="CB42" i="1"/>
  <c r="CO42" i="1"/>
  <c r="DB42" i="1" s="1"/>
  <c r="N39" i="51"/>
  <c r="EA42" i="1"/>
  <c r="EN42" i="1" s="1"/>
  <c r="CO35" i="1"/>
  <c r="DB35" i="1" s="1"/>
  <c r="CB35" i="1"/>
  <c r="EA35" i="1"/>
  <c r="EN35" i="1" s="1"/>
  <c r="N32" i="51"/>
  <c r="EA80" i="1"/>
  <c r="EN80" i="1" s="1"/>
  <c r="N77" i="51"/>
  <c r="CB80" i="1"/>
  <c r="CO80" i="1"/>
  <c r="DB80" i="1" s="1"/>
  <c r="N73" i="51"/>
  <c r="CO76" i="1"/>
  <c r="DB76" i="1" s="1"/>
  <c r="CB76" i="1"/>
  <c r="EA76" i="1"/>
  <c r="EN76" i="1" s="1"/>
  <c r="CO72" i="1"/>
  <c r="DB72" i="1" s="1"/>
  <c r="CB72" i="1"/>
  <c r="EA72" i="1"/>
  <c r="EN72" i="1" s="1"/>
  <c r="N69" i="51"/>
  <c r="EA40" i="1"/>
  <c r="EN40" i="1" s="1"/>
  <c r="N37" i="51"/>
  <c r="CB40" i="1"/>
  <c r="CO40" i="1"/>
  <c r="DB40" i="1" s="1"/>
  <c r="CB54" i="1"/>
  <c r="EA54" i="1"/>
  <c r="EN54" i="1" s="1"/>
  <c r="N51" i="51"/>
  <c r="CO54" i="1"/>
  <c r="DB54" i="1" s="1"/>
  <c r="N68" i="51"/>
  <c r="CO71" i="1"/>
  <c r="DB71" i="1" s="1"/>
  <c r="EA71" i="1"/>
  <c r="EN71" i="1" s="1"/>
  <c r="CB71" i="1"/>
  <c r="N25" i="51"/>
  <c r="CB28" i="1"/>
  <c r="CO28" i="1"/>
  <c r="DB28" i="1" s="1"/>
  <c r="EA28" i="1"/>
  <c r="EN28" i="1" s="1"/>
  <c r="CB44" i="1"/>
  <c r="CO44" i="1"/>
  <c r="DB44" i="1" s="1"/>
  <c r="N41" i="51"/>
  <c r="EA44" i="1"/>
  <c r="EN44" i="1" s="1"/>
  <c r="N24" i="51"/>
  <c r="CO27" i="1"/>
  <c r="DB27" i="1" s="1"/>
  <c r="EA27" i="1"/>
  <c r="EN27" i="1" s="1"/>
  <c r="CB27" i="1"/>
  <c r="CO15" i="1"/>
  <c r="DB15" i="1" s="1"/>
  <c r="EA15" i="1"/>
  <c r="EN15" i="1" s="1"/>
  <c r="CB15" i="1"/>
  <c r="N12" i="51"/>
  <c r="CO52" i="1"/>
  <c r="DB52" i="1" s="1"/>
  <c r="EA52" i="1"/>
  <c r="EN52" i="1" s="1"/>
  <c r="N49" i="51"/>
  <c r="CB52" i="1"/>
  <c r="EA33" i="1"/>
  <c r="EN33" i="1" s="1"/>
  <c r="N30" i="51"/>
  <c r="CB33" i="1"/>
  <c r="CO33" i="1"/>
  <c r="DB33" i="1" s="1"/>
  <c r="BW13" i="1"/>
  <c r="DV13" i="1"/>
  <c r="EI13" i="1" s="1"/>
  <c r="I27" i="51"/>
  <c r="CJ30" i="1"/>
  <c r="CW30" i="1" s="1"/>
  <c r="CJ66" i="1"/>
  <c r="CW66" i="1" s="1"/>
  <c r="I63" i="51"/>
  <c r="DV55" i="1"/>
  <c r="EI55" i="1" s="1"/>
  <c r="BW55" i="1"/>
  <c r="DV33" i="1"/>
  <c r="EI33" i="1" s="1"/>
  <c r="BW33" i="1"/>
  <c r="CJ63" i="1"/>
  <c r="CW63" i="1" s="1"/>
  <c r="I60" i="51"/>
  <c r="I11" i="51"/>
  <c r="CJ14" i="1"/>
  <c r="CW14" i="1" s="1"/>
  <c r="DV38" i="1"/>
  <c r="EI38" i="1" s="1"/>
  <c r="BW38" i="1"/>
  <c r="BW69" i="1"/>
  <c r="DV69" i="1"/>
  <c r="EI69" i="1" s="1"/>
  <c r="DV58" i="1"/>
  <c r="EI58" i="1" s="1"/>
  <c r="BW58" i="1"/>
  <c r="CJ69" i="1"/>
  <c r="CW69" i="1" s="1"/>
  <c r="I66" i="51"/>
  <c r="I55" i="51"/>
  <c r="CJ58" i="1"/>
  <c r="CW58" i="1" s="1"/>
  <c r="CJ72" i="1"/>
  <c r="CW72" i="1" s="1"/>
  <c r="I69" i="51"/>
  <c r="CJ52" i="1"/>
  <c r="CW52" i="1" s="1"/>
  <c r="I49" i="51"/>
  <c r="DV67" i="1"/>
  <c r="EI67" i="1" s="1"/>
  <c r="BW67" i="1"/>
  <c r="BW62" i="1"/>
  <c r="DV62" i="1"/>
  <c r="EI62" i="1" s="1"/>
  <c r="DV31" i="1"/>
  <c r="EI31" i="1" s="1"/>
  <c r="BW31" i="1"/>
  <c r="BW16" i="1"/>
  <c r="DV16" i="1"/>
  <c r="EI16" i="1" s="1"/>
  <c r="I70" i="51"/>
  <c r="CJ73" i="1"/>
  <c r="CW73" i="1" s="1"/>
  <c r="CJ61" i="1"/>
  <c r="CW61" i="1" s="1"/>
  <c r="I58" i="51"/>
  <c r="I10" i="51"/>
  <c r="CJ13" i="1"/>
  <c r="CW13" i="1" s="1"/>
  <c r="BW22" i="1"/>
  <c r="DV22" i="1"/>
  <c r="CJ35" i="1"/>
  <c r="CW35" i="1" s="1"/>
  <c r="I32" i="51"/>
  <c r="DV52" i="1"/>
  <c r="EI52" i="1" s="1"/>
  <c r="BW52" i="1"/>
  <c r="DV19" i="1"/>
  <c r="EI19" i="1" s="1"/>
  <c r="BW19" i="1"/>
  <c r="DV80" i="1"/>
  <c r="EI80" i="1" s="1"/>
  <c r="BW80" i="1"/>
  <c r="CJ39" i="1"/>
  <c r="CW39" i="1" s="1"/>
  <c r="I36" i="51"/>
  <c r="CJ36" i="1"/>
  <c r="CW36" i="1" s="1"/>
  <c r="I33" i="51"/>
  <c r="CE15" i="1"/>
  <c r="CR15" i="1"/>
  <c r="DE15" i="1" s="1"/>
  <c r="ED15" i="1"/>
  <c r="EQ15" i="1" s="1"/>
  <c r="Q12" i="51"/>
  <c r="ED53" i="1"/>
  <c r="EQ53" i="1" s="1"/>
  <c r="Q50" i="51"/>
  <c r="CE53" i="1"/>
  <c r="CR53" i="1"/>
  <c r="DE53" i="1" s="1"/>
  <c r="ED12" i="1"/>
  <c r="EQ12" i="1" s="1"/>
  <c r="Q9" i="51"/>
  <c r="CE12" i="1"/>
  <c r="CR12" i="1"/>
  <c r="DE12" i="1" s="1"/>
  <c r="CR46" i="1"/>
  <c r="DE46" i="1" s="1"/>
  <c r="Q43" i="51"/>
  <c r="CE46" i="1"/>
  <c r="ED46" i="1"/>
  <c r="EQ46" i="1" s="1"/>
  <c r="Q39" i="51"/>
  <c r="CE42" i="1"/>
  <c r="ED42" i="1"/>
  <c r="EQ42" i="1" s="1"/>
  <c r="CR42" i="1"/>
  <c r="DE42" i="1" s="1"/>
  <c r="CR20" i="1"/>
  <c r="DE20" i="1" s="1"/>
  <c r="CE20" i="1"/>
  <c r="ED20" i="1"/>
  <c r="EQ20" i="1" s="1"/>
  <c r="Q17" i="51"/>
  <c r="CR62" i="1"/>
  <c r="DE62" i="1" s="1"/>
  <c r="CE62" i="1"/>
  <c r="ED62" i="1"/>
  <c r="EQ62" i="1" s="1"/>
  <c r="Q59" i="51"/>
  <c r="ED67" i="1"/>
  <c r="EQ67" i="1" s="1"/>
  <c r="Q64" i="51"/>
  <c r="CE67" i="1"/>
  <c r="CR67" i="1"/>
  <c r="DE67" i="1" s="1"/>
  <c r="ED72" i="1"/>
  <c r="EQ72" i="1" s="1"/>
  <c r="CE72" i="1"/>
  <c r="CR72" i="1"/>
  <c r="DE72" i="1" s="1"/>
  <c r="Q69" i="51"/>
  <c r="CR79" i="1"/>
  <c r="DE79" i="1" s="1"/>
  <c r="Q76" i="51"/>
  <c r="ED79" i="1"/>
  <c r="EQ79" i="1" s="1"/>
  <c r="CE79" i="1"/>
  <c r="AW33" i="1"/>
  <c r="P33" i="55"/>
  <c r="Q17" i="1"/>
  <c r="O17" i="38"/>
  <c r="DZ28" i="1"/>
  <c r="EM28" i="1" s="1"/>
  <c r="CA28" i="1"/>
  <c r="M52" i="51"/>
  <c r="CN55" i="1"/>
  <c r="DA55" i="1" s="1"/>
  <c r="CA45" i="1"/>
  <c r="DZ45" i="1"/>
  <c r="EM45" i="1" s="1"/>
  <c r="CN77" i="1"/>
  <c r="DA77" i="1" s="1"/>
  <c r="M74" i="51"/>
  <c r="M15" i="51"/>
  <c r="CN18" i="1"/>
  <c r="DA18" i="1" s="1"/>
  <c r="M63" i="51"/>
  <c r="CN66" i="1"/>
  <c r="DA66" i="1" s="1"/>
  <c r="M70" i="51"/>
  <c r="CN73" i="1"/>
  <c r="DA73" i="1" s="1"/>
  <c r="M38" i="51"/>
  <c r="CN41" i="1"/>
  <c r="DA41" i="1" s="1"/>
  <c r="DZ32" i="1"/>
  <c r="EM32" i="1" s="1"/>
  <c r="CA32" i="1"/>
  <c r="DZ66" i="1"/>
  <c r="EM66" i="1" s="1"/>
  <c r="CA66" i="1"/>
  <c r="CA54" i="1"/>
  <c r="DZ54" i="1"/>
  <c r="EM54" i="1" s="1"/>
  <c r="DZ60" i="1"/>
  <c r="EM60" i="1" s="1"/>
  <c r="CA60" i="1"/>
  <c r="CA27" i="1"/>
  <c r="DZ27" i="1"/>
  <c r="EM27" i="1" s="1"/>
  <c r="M21" i="51"/>
  <c r="CN24" i="1"/>
  <c r="DA24" i="1" s="1"/>
  <c r="CA55" i="1"/>
  <c r="DZ55" i="1"/>
  <c r="EM55" i="1" s="1"/>
  <c r="CN65" i="1"/>
  <c r="DA65" i="1" s="1"/>
  <c r="M62" i="51"/>
  <c r="M69" i="51"/>
  <c r="CN72" i="1"/>
  <c r="DA72" i="1" s="1"/>
  <c r="CA22" i="1"/>
  <c r="DZ22" i="1"/>
  <c r="EM22" i="1" s="1"/>
  <c r="CA51" i="1"/>
  <c r="DZ51" i="1"/>
  <c r="EM51" i="1" s="1"/>
  <c r="CA75" i="1"/>
  <c r="DZ75" i="1"/>
  <c r="EM75" i="1" s="1"/>
  <c r="M51" i="51"/>
  <c r="CN54" i="1"/>
  <c r="DA54" i="1" s="1"/>
  <c r="CA31" i="1"/>
  <c r="DZ31" i="1"/>
  <c r="EM31" i="1" s="1"/>
  <c r="DZ48" i="1"/>
  <c r="EM48" i="1" s="1"/>
  <c r="CA48" i="1"/>
  <c r="DZ34" i="1"/>
  <c r="EM34" i="1" s="1"/>
  <c r="CA34" i="1"/>
  <c r="DZ46" i="1"/>
  <c r="EM46" i="1" s="1"/>
  <c r="CA46" i="1"/>
  <c r="CA11" i="1"/>
  <c r="DZ11" i="1"/>
  <c r="EM11" i="1" s="1"/>
  <c r="CA72" i="1"/>
  <c r="DZ72" i="1"/>
  <c r="EM72" i="1" s="1"/>
  <c r="M33" i="51"/>
  <c r="CN36" i="1"/>
  <c r="DA36" i="1" s="1"/>
  <c r="CN70" i="1"/>
  <c r="DA70" i="1" s="1"/>
  <c r="M67" i="51"/>
  <c r="M61" i="51"/>
  <c r="CN64" i="1"/>
  <c r="DA64" i="1" s="1"/>
  <c r="CN47" i="1"/>
  <c r="DA47" i="1" s="1"/>
  <c r="M44" i="51"/>
  <c r="CN57" i="1"/>
  <c r="DA57" i="1" s="1"/>
  <c r="M54" i="51"/>
  <c r="M17" i="51"/>
  <c r="CN20" i="1"/>
  <c r="DA20" i="1" s="1"/>
  <c r="M27" i="51"/>
  <c r="CN30" i="1"/>
  <c r="DA30" i="1" s="1"/>
  <c r="M36" i="51"/>
  <c r="CN39" i="1"/>
  <c r="DA39" i="1" s="1"/>
  <c r="CA24" i="1"/>
  <c r="DZ24" i="1"/>
  <c r="EM24" i="1" s="1"/>
  <c r="DZ35" i="1"/>
  <c r="EM35" i="1" s="1"/>
  <c r="CA35" i="1"/>
  <c r="CN60" i="1"/>
  <c r="DA60" i="1" s="1"/>
  <c r="M57" i="51"/>
  <c r="BX26" i="1"/>
  <c r="CK14" i="1"/>
  <c r="CX14" i="1" s="1"/>
  <c r="J11" i="51"/>
  <c r="CK77" i="1"/>
  <c r="CX77" i="1" s="1"/>
  <c r="J74" i="51"/>
  <c r="BX80" i="1"/>
  <c r="DW80" i="1"/>
  <c r="EJ80" i="1" s="1"/>
  <c r="BX59" i="1"/>
  <c r="BX16" i="1"/>
  <c r="DW57" i="1"/>
  <c r="EJ57" i="1" s="1"/>
  <c r="BX57" i="1"/>
  <c r="BX51" i="1"/>
  <c r="DW51" i="1"/>
  <c r="EJ51" i="1" s="1"/>
  <c r="CK79" i="1"/>
  <c r="CX79" i="1" s="1"/>
  <c r="J76" i="51"/>
  <c r="BX12" i="1"/>
  <c r="BX39" i="1"/>
  <c r="DW39" i="1"/>
  <c r="EJ39" i="1" s="1"/>
  <c r="BX29" i="1"/>
  <c r="DW29" i="1"/>
  <c r="EJ29" i="1" s="1"/>
  <c r="CK70" i="1"/>
  <c r="CX70" i="1" s="1"/>
  <c r="J67" i="51"/>
  <c r="J57" i="51"/>
  <c r="CK60" i="1"/>
  <c r="CX60" i="1" s="1"/>
  <c r="BX72" i="1"/>
  <c r="DW72" i="1"/>
  <c r="EJ72" i="1" s="1"/>
  <c r="BX11" i="1"/>
  <c r="DW11" i="1"/>
  <c r="EJ11" i="1" s="1"/>
  <c r="DW22" i="1"/>
  <c r="EJ22" i="1" s="1"/>
  <c r="BX22" i="1"/>
  <c r="DW23" i="1"/>
  <c r="EJ23" i="1" s="1"/>
  <c r="BX23" i="1"/>
  <c r="BX70" i="1"/>
  <c r="DW70" i="1"/>
  <c r="EJ70" i="1" s="1"/>
  <c r="BX54" i="1"/>
  <c r="DW20" i="1"/>
  <c r="EJ20" i="1" s="1"/>
  <c r="BX20" i="1"/>
  <c r="BX32" i="1"/>
  <c r="DW32" i="1"/>
  <c r="EJ32" i="1" s="1"/>
  <c r="CK73" i="1"/>
  <c r="CX73" i="1" s="1"/>
  <c r="J70" i="51"/>
  <c r="DW73" i="1"/>
  <c r="EJ73" i="1" s="1"/>
  <c r="BX73" i="1"/>
  <c r="J65" i="51"/>
  <c r="CK68" i="1"/>
  <c r="CX68" i="1" s="1"/>
  <c r="O56" i="39"/>
  <c r="U56" i="1"/>
  <c r="O11" i="40"/>
  <c r="K83" i="40"/>
  <c r="K86" i="40"/>
  <c r="CL41" i="1"/>
  <c r="CY41" i="1" s="1"/>
  <c r="K38" i="51"/>
  <c r="DX72" i="1"/>
  <c r="EK72" i="1" s="1"/>
  <c r="BY72" i="1"/>
  <c r="BY37" i="1"/>
  <c r="DX37" i="1"/>
  <c r="EK37" i="1" s="1"/>
  <c r="DX71" i="1"/>
  <c r="EK71" i="1" s="1"/>
  <c r="BY71" i="1"/>
  <c r="DX57" i="1"/>
  <c r="EK57" i="1" s="1"/>
  <c r="BY57" i="1"/>
  <c r="K59" i="51"/>
  <c r="CL62" i="1"/>
  <c r="CY62" i="1" s="1"/>
  <c r="BY52" i="1"/>
  <c r="DX52" i="1"/>
  <c r="EK52" i="1" s="1"/>
  <c r="BY24" i="1"/>
  <c r="DX24" i="1"/>
  <c r="EK24" i="1" s="1"/>
  <c r="BY35" i="1"/>
  <c r="K75" i="51"/>
  <c r="CL78" i="1"/>
  <c r="CY78" i="1" s="1"/>
  <c r="BY74" i="1"/>
  <c r="DX74" i="1"/>
  <c r="EK74" i="1" s="1"/>
  <c r="CL76" i="1"/>
  <c r="CY76" i="1" s="1"/>
  <c r="K73" i="51"/>
  <c r="DX31" i="1"/>
  <c r="EK31" i="1" s="1"/>
  <c r="BY31" i="1"/>
  <c r="BY50" i="1"/>
  <c r="CL79" i="1"/>
  <c r="CY79" i="1" s="1"/>
  <c r="K76" i="51"/>
  <c r="CL33" i="1"/>
  <c r="CY33" i="1" s="1"/>
  <c r="K30" i="51"/>
  <c r="BY19" i="1"/>
  <c r="BY39" i="1"/>
  <c r="DX39" i="1"/>
  <c r="EK39" i="1" s="1"/>
  <c r="CL69" i="1"/>
  <c r="CY69" i="1" s="1"/>
  <c r="K66" i="51"/>
  <c r="DX56" i="1"/>
  <c r="EK56" i="1" s="1"/>
  <c r="BY56" i="1"/>
  <c r="DX70" i="1"/>
  <c r="EK70" i="1" s="1"/>
  <c r="BY70" i="1"/>
  <c r="K40" i="51"/>
  <c r="CL43" i="1"/>
  <c r="CY43" i="1" s="1"/>
  <c r="K55" i="51"/>
  <c r="CL58" i="1"/>
  <c r="CY58" i="1" s="1"/>
  <c r="BY11" i="1"/>
  <c r="BY43" i="1"/>
  <c r="DX43" i="1"/>
  <c r="EK43" i="1" s="1"/>
  <c r="BY61" i="1"/>
  <c r="DX61" i="1"/>
  <c r="EK61" i="1" s="1"/>
  <c r="BY64" i="1"/>
  <c r="DX64" i="1"/>
  <c r="EK64" i="1" s="1"/>
  <c r="BY68" i="1"/>
  <c r="DX68" i="1"/>
  <c r="EK68" i="1" s="1"/>
  <c r="BY16" i="1"/>
  <c r="DX16" i="1"/>
  <c r="EK16" i="1" s="1"/>
  <c r="BY51" i="1"/>
  <c r="DX51" i="1"/>
  <c r="EK51" i="1" s="1"/>
  <c r="DX38" i="1"/>
  <c r="EK38" i="1" s="1"/>
  <c r="BY38" i="1"/>
  <c r="Y18" i="1"/>
  <c r="O18" i="40"/>
  <c r="L22" i="51"/>
  <c r="CM25" i="1"/>
  <c r="CZ25" i="1" s="1"/>
  <c r="BZ44" i="1"/>
  <c r="DY44" i="1"/>
  <c r="EL44" i="1" s="1"/>
  <c r="L60" i="51"/>
  <c r="CM63" i="1"/>
  <c r="CZ63" i="1" s="1"/>
  <c r="L49" i="51"/>
  <c r="CM52" i="1"/>
  <c r="CZ52" i="1" s="1"/>
  <c r="CM71" i="1"/>
  <c r="CZ71" i="1" s="1"/>
  <c r="L68" i="51"/>
  <c r="BZ53" i="1"/>
  <c r="DY53" i="1"/>
  <c r="EL53" i="1" s="1"/>
  <c r="BZ74" i="1"/>
  <c r="DY74" i="1"/>
  <c r="EL74" i="1" s="1"/>
  <c r="DY29" i="1"/>
  <c r="EL29" i="1" s="1"/>
  <c r="CM29" i="1"/>
  <c r="CZ29" i="1" s="1"/>
  <c r="L26" i="51"/>
  <c r="DY78" i="1"/>
  <c r="EL78" i="1" s="1"/>
  <c r="L75" i="51"/>
  <c r="CM78" i="1"/>
  <c r="CZ78" i="1" s="1"/>
  <c r="BZ38" i="1"/>
  <c r="DY38" i="1"/>
  <c r="EL38" i="1" s="1"/>
  <c r="L47" i="51"/>
  <c r="CM50" i="1"/>
  <c r="CZ50" i="1" s="1"/>
  <c r="CM49" i="1"/>
  <c r="CZ49" i="1" s="1"/>
  <c r="L46" i="51"/>
  <c r="L38" i="51"/>
  <c r="CM41" i="1"/>
  <c r="CZ41" i="1" s="1"/>
  <c r="DY13" i="1"/>
  <c r="EL13" i="1" s="1"/>
  <c r="BZ13" i="1"/>
  <c r="CM56" i="1"/>
  <c r="CZ56" i="1" s="1"/>
  <c r="L53" i="51"/>
  <c r="CM54" i="1"/>
  <c r="CZ54" i="1" s="1"/>
  <c r="L51" i="51"/>
  <c r="CM40" i="1"/>
  <c r="CZ40" i="1" s="1"/>
  <c r="L37" i="51"/>
  <c r="CM66" i="1"/>
  <c r="CZ66" i="1" s="1"/>
  <c r="L63" i="51"/>
  <c r="CM43" i="1"/>
  <c r="CZ43" i="1" s="1"/>
  <c r="L40" i="51"/>
  <c r="L27" i="51"/>
  <c r="CM30" i="1"/>
  <c r="CZ30" i="1" s="1"/>
  <c r="L62" i="51"/>
  <c r="CM65" i="1"/>
  <c r="CZ65" i="1" s="1"/>
  <c r="L72" i="51"/>
  <c r="CM75" i="1"/>
  <c r="CZ75" i="1" s="1"/>
  <c r="L8" i="51"/>
  <c r="CM11" i="1"/>
  <c r="CZ11" i="1" s="1"/>
  <c r="BZ64" i="1"/>
  <c r="DY64" i="1"/>
  <c r="EL64" i="1" s="1"/>
  <c r="DY68" i="1"/>
  <c r="EL68" i="1" s="1"/>
  <c r="BZ68" i="1"/>
  <c r="CM44" i="1"/>
  <c r="CZ44" i="1" s="1"/>
  <c r="L41" i="51"/>
  <c r="DY69" i="1"/>
  <c r="EL69" i="1" s="1"/>
  <c r="BZ69" i="1"/>
  <c r="DY18" i="1"/>
  <c r="EL18" i="1" s="1"/>
  <c r="BZ18" i="1"/>
  <c r="BZ46" i="1"/>
  <c r="DY46" i="1"/>
  <c r="EL46" i="1" s="1"/>
  <c r="L32" i="51"/>
  <c r="CM35" i="1"/>
  <c r="CZ35" i="1" s="1"/>
  <c r="CR14" i="1"/>
  <c r="DE14" i="1" s="1"/>
  <c r="CE14" i="1"/>
  <c r="ED14" i="1"/>
  <c r="EQ14" i="1" s="1"/>
  <c r="Q11" i="51"/>
  <c r="Q52" i="51"/>
  <c r="ED55" i="1"/>
  <c r="EQ55" i="1" s="1"/>
  <c r="CR55" i="1"/>
  <c r="DE55" i="1" s="1"/>
  <c r="CE55" i="1"/>
  <c r="F85" i="42"/>
  <c r="F84" i="42"/>
  <c r="F83" i="42"/>
  <c r="F87" i="42"/>
  <c r="Y12" i="1"/>
  <c r="O12" i="40"/>
  <c r="BM66" i="1"/>
  <c r="EC33" i="1"/>
  <c r="EP33" i="1" s="1"/>
  <c r="R15" i="51"/>
  <c r="ED32" i="1"/>
  <c r="EQ32" i="1" s="1"/>
  <c r="Q22" i="51"/>
  <c r="CI54" i="1"/>
  <c r="CV54" i="1" s="1"/>
  <c r="EC47" i="1"/>
  <c r="EP47" i="1" s="1"/>
  <c r="CQ33" i="1"/>
  <c r="DD33" i="1" s="1"/>
  <c r="CQ45" i="1"/>
  <c r="DD45" i="1" s="1"/>
  <c r="R48" i="51"/>
  <c r="EE49" i="1"/>
  <c r="ER49" i="1" s="1"/>
  <c r="R16" i="51"/>
  <c r="CS35" i="1"/>
  <c r="DF35" i="1" s="1"/>
  <c r="CS18" i="1"/>
  <c r="DF18" i="1" s="1"/>
  <c r="EC25" i="1"/>
  <c r="EP25" i="1" s="1"/>
  <c r="H83" i="37"/>
  <c r="CR32" i="1"/>
  <c r="DE32" i="1" s="1"/>
  <c r="CH25" i="1"/>
  <c r="CE25" i="1"/>
  <c r="F87" i="36"/>
  <c r="Q51" i="51"/>
  <c r="K25" i="51"/>
  <c r="P18" i="55"/>
  <c r="F82" i="55"/>
  <c r="O51" i="38"/>
  <c r="Q18" i="1"/>
  <c r="Q28" i="1"/>
  <c r="O51" i="40"/>
  <c r="Y29" i="1"/>
  <c r="U24" i="1"/>
  <c r="DW24" i="1" s="1"/>
  <c r="U59" i="1"/>
  <c r="U26" i="1"/>
  <c r="DW26" i="1" s="1"/>
  <c r="U48" i="1"/>
  <c r="DW48" i="1" s="1"/>
  <c r="U54" i="1"/>
  <c r="DW54" i="1" s="1"/>
  <c r="EJ54" i="1" s="1"/>
  <c r="Y25" i="1"/>
  <c r="AW30" i="1"/>
  <c r="BW44" i="1"/>
  <c r="I73" i="51"/>
  <c r="CJ76" i="1"/>
  <c r="CW76" i="1" s="1"/>
  <c r="BW11" i="1"/>
  <c r="CJ79" i="1"/>
  <c r="CW79" i="1" s="1"/>
  <c r="I76" i="51"/>
  <c r="BW75" i="1"/>
  <c r="DV75" i="1"/>
  <c r="EI75" i="1" s="1"/>
  <c r="BW17" i="1"/>
  <c r="DV17" i="1"/>
  <c r="EI17" i="1" s="1"/>
  <c r="CJ40" i="1"/>
  <c r="CW40" i="1" s="1"/>
  <c r="I37" i="51"/>
  <c r="DV40" i="1"/>
  <c r="BW40" i="1"/>
  <c r="BW45" i="1"/>
  <c r="CE51" i="1"/>
  <c r="CR51" i="1"/>
  <c r="DE51" i="1" s="1"/>
  <c r="Q48" i="51"/>
  <c r="ED51" i="1"/>
  <c r="EQ51" i="1" s="1"/>
  <c r="CE63" i="1"/>
  <c r="CR63" i="1"/>
  <c r="DE63" i="1" s="1"/>
  <c r="ED63" i="1"/>
  <c r="EQ63" i="1" s="1"/>
  <c r="Q60" i="51"/>
  <c r="CE78" i="1"/>
  <c r="CR78" i="1"/>
  <c r="DE78" i="1" s="1"/>
  <c r="ED78" i="1"/>
  <c r="EQ78" i="1" s="1"/>
  <c r="Q75" i="51"/>
  <c r="AW48" i="1"/>
  <c r="P48" i="55"/>
  <c r="DZ37" i="1"/>
  <c r="EM37" i="1" s="1"/>
  <c r="CA37" i="1"/>
  <c r="DZ20" i="1"/>
  <c r="EM20" i="1" s="1"/>
  <c r="CA20" i="1"/>
  <c r="CA76" i="1"/>
  <c r="DZ76" i="1"/>
  <c r="EM76" i="1" s="1"/>
  <c r="DZ41" i="1"/>
  <c r="EM41" i="1" s="1"/>
  <c r="CA41" i="1"/>
  <c r="DZ50" i="1"/>
  <c r="EM50" i="1" s="1"/>
  <c r="CA50" i="1"/>
  <c r="CN76" i="1"/>
  <c r="DA76" i="1" s="1"/>
  <c r="M73" i="51"/>
  <c r="DZ47" i="1"/>
  <c r="EM47" i="1" s="1"/>
  <c r="CA47" i="1"/>
  <c r="CA80" i="1"/>
  <c r="DZ80" i="1"/>
  <c r="EM80" i="1" s="1"/>
  <c r="CN59" i="1"/>
  <c r="DA59" i="1" s="1"/>
  <c r="M56" i="51"/>
  <c r="M10" i="51"/>
  <c r="CN13" i="1"/>
  <c r="DA13" i="1" s="1"/>
  <c r="J29" i="51"/>
  <c r="CK32" i="1"/>
  <c r="CX32" i="1" s="1"/>
  <c r="J22" i="51"/>
  <c r="CK25" i="1"/>
  <c r="CX25" i="1" s="1"/>
  <c r="BX35" i="1"/>
  <c r="DW35" i="1"/>
  <c r="EJ35" i="1" s="1"/>
  <c r="J73" i="51"/>
  <c r="CK76" i="1"/>
  <c r="CX76" i="1" s="1"/>
  <c r="J59" i="51"/>
  <c r="CK62" i="1"/>
  <c r="CX62" i="1" s="1"/>
  <c r="BX42" i="1"/>
  <c r="DW42" i="1"/>
  <c r="EJ42" i="1" s="1"/>
  <c r="DW67" i="1"/>
  <c r="EJ67" i="1" s="1"/>
  <c r="BX67" i="1"/>
  <c r="J75" i="51"/>
  <c r="CK78" i="1"/>
  <c r="CX78" i="1" s="1"/>
  <c r="J77" i="51"/>
  <c r="CK80" i="1"/>
  <c r="CX80" i="1" s="1"/>
  <c r="CK37" i="1"/>
  <c r="CX37" i="1" s="1"/>
  <c r="J34" i="51"/>
  <c r="CK51" i="1"/>
  <c r="CX51" i="1" s="1"/>
  <c r="J48" i="51"/>
  <c r="J62" i="51"/>
  <c r="CK65" i="1"/>
  <c r="CX65" i="1" s="1"/>
  <c r="BX79" i="1"/>
  <c r="DW79" i="1"/>
  <c r="EJ79" i="1" s="1"/>
  <c r="K34" i="51"/>
  <c r="CL37" i="1"/>
  <c r="CY37" i="1" s="1"/>
  <c r="CL14" i="1"/>
  <c r="CY14" i="1" s="1"/>
  <c r="K11" i="51"/>
  <c r="BY23" i="1"/>
  <c r="DX23" i="1"/>
  <c r="EK23" i="1" s="1"/>
  <c r="CL54" i="1"/>
  <c r="CY54" i="1" s="1"/>
  <c r="K51" i="51"/>
  <c r="CL56" i="1"/>
  <c r="CY56" i="1" s="1"/>
  <c r="K53" i="51"/>
  <c r="K37" i="51"/>
  <c r="CL40" i="1"/>
  <c r="CY40" i="1" s="1"/>
  <c r="K23" i="51"/>
  <c r="CL26" i="1"/>
  <c r="CY26" i="1" s="1"/>
  <c r="BY54" i="1"/>
  <c r="DX54" i="1"/>
  <c r="EK54" i="1" s="1"/>
  <c r="BY73" i="1"/>
  <c r="DX73" i="1"/>
  <c r="EK73" i="1" s="1"/>
  <c r="BY80" i="1"/>
  <c r="DX80" i="1"/>
  <c r="EK80" i="1" s="1"/>
  <c r="BY27" i="1"/>
  <c r="DX27" i="1"/>
  <c r="EK27" i="1" s="1"/>
  <c r="CM22" i="1"/>
  <c r="CZ22" i="1" s="1"/>
  <c r="L19" i="51"/>
  <c r="BZ57" i="1"/>
  <c r="DY57" i="1"/>
  <c r="EL57" i="1" s="1"/>
  <c r="CM61" i="1"/>
  <c r="CZ61" i="1" s="1"/>
  <c r="L58" i="51"/>
  <c r="BZ76" i="1"/>
  <c r="DY76" i="1"/>
  <c r="EL76" i="1" s="1"/>
  <c r="DY20" i="1"/>
  <c r="EL20" i="1" s="1"/>
  <c r="CM20" i="1"/>
  <c r="CZ20" i="1" s="1"/>
  <c r="L17" i="51"/>
  <c r="BZ40" i="1"/>
  <c r="DY40" i="1"/>
  <c r="EL40" i="1" s="1"/>
  <c r="L30" i="51"/>
  <c r="CM33" i="1"/>
  <c r="CZ33" i="1" s="1"/>
  <c r="L67" i="51"/>
  <c r="CM70" i="1"/>
  <c r="CZ70" i="1" s="1"/>
  <c r="BZ71" i="1"/>
  <c r="DY71" i="1"/>
  <c r="EL71" i="1" s="1"/>
  <c r="L20" i="51"/>
  <c r="CM23" i="1"/>
  <c r="CZ23" i="1" s="1"/>
  <c r="CM38" i="1"/>
  <c r="CZ38" i="1" s="1"/>
  <c r="L35" i="51"/>
  <c r="BZ49" i="1"/>
  <c r="DY49" i="1"/>
  <c r="EL49" i="1" s="1"/>
  <c r="CM26" i="1"/>
  <c r="CZ26" i="1" s="1"/>
  <c r="L23" i="51"/>
  <c r="BZ59" i="1"/>
  <c r="DY59" i="1"/>
  <c r="EL59" i="1" s="1"/>
  <c r="F88" i="41"/>
  <c r="F86" i="41"/>
  <c r="F85" i="41"/>
  <c r="F83" i="41"/>
  <c r="F84" i="41"/>
  <c r="F87" i="41"/>
  <c r="AW28" i="1"/>
  <c r="P28" i="55"/>
  <c r="AW40" i="1"/>
  <c r="P40" i="55"/>
  <c r="K86" i="38"/>
  <c r="K83" i="38"/>
  <c r="Q12" i="1"/>
  <c r="DV12" i="1" s="1"/>
  <c r="EI12" i="1" s="1"/>
  <c r="O12" i="38"/>
  <c r="CO59" i="1"/>
  <c r="DB59" i="1" s="1"/>
  <c r="N56" i="51"/>
  <c r="CB59" i="1"/>
  <c r="EA59" i="1"/>
  <c r="EN59" i="1" s="1"/>
  <c r="CB41" i="1"/>
  <c r="EA41" i="1"/>
  <c r="EN41" i="1" s="1"/>
  <c r="N38" i="51"/>
  <c r="CO41" i="1"/>
  <c r="DB41" i="1" s="1"/>
  <c r="CB56" i="1"/>
  <c r="EA56" i="1"/>
  <c r="EN56" i="1" s="1"/>
  <c r="N53" i="51"/>
  <c r="CO56" i="1"/>
  <c r="DB56" i="1" s="1"/>
  <c r="EA12" i="1"/>
  <c r="EN12" i="1" s="1"/>
  <c r="CB12" i="1"/>
  <c r="CO12" i="1"/>
  <c r="DB12" i="1" s="1"/>
  <c r="N9" i="51"/>
  <c r="EA19" i="1"/>
  <c r="EN19" i="1" s="1"/>
  <c r="N16" i="51"/>
  <c r="CB19" i="1"/>
  <c r="CO19" i="1"/>
  <c r="DB19" i="1" s="1"/>
  <c r="CO50" i="1"/>
  <c r="DB50" i="1" s="1"/>
  <c r="EA50" i="1"/>
  <c r="EN50" i="1" s="1"/>
  <c r="N47" i="51"/>
  <c r="CB50" i="1"/>
  <c r="CB60" i="1"/>
  <c r="CO60" i="1"/>
  <c r="DB60" i="1" s="1"/>
  <c r="N57" i="51"/>
  <c r="EA60" i="1"/>
  <c r="EN60" i="1" s="1"/>
  <c r="N52" i="51"/>
  <c r="CO55" i="1"/>
  <c r="DB55" i="1" s="1"/>
  <c r="CB55" i="1"/>
  <c r="EA55" i="1"/>
  <c r="EN55" i="1" s="1"/>
  <c r="CB64" i="1"/>
  <c r="EA64" i="1"/>
  <c r="EN64" i="1" s="1"/>
  <c r="N61" i="51"/>
  <c r="CO64" i="1"/>
  <c r="DB64" i="1" s="1"/>
  <c r="N19" i="51"/>
  <c r="EA22" i="1"/>
  <c r="EN22" i="1" s="1"/>
  <c r="CB22" i="1"/>
  <c r="CO22" i="1"/>
  <c r="DB22" i="1" s="1"/>
  <c r="CO73" i="1"/>
  <c r="DB73" i="1" s="1"/>
  <c r="EA73" i="1"/>
  <c r="EN73" i="1" s="1"/>
  <c r="N70" i="51"/>
  <c r="CB73" i="1"/>
  <c r="N20" i="51"/>
  <c r="CO23" i="1"/>
  <c r="DB23" i="1" s="1"/>
  <c r="EA23" i="1"/>
  <c r="EN23" i="1" s="1"/>
  <c r="CB23" i="1"/>
  <c r="CB29" i="1"/>
  <c r="EA29" i="1"/>
  <c r="EN29" i="1" s="1"/>
  <c r="CO29" i="1"/>
  <c r="DB29" i="1" s="1"/>
  <c r="N26" i="51"/>
  <c r="CO16" i="1"/>
  <c r="DB16" i="1" s="1"/>
  <c r="CB16" i="1"/>
  <c r="EA16" i="1"/>
  <c r="EN16" i="1" s="1"/>
  <c r="N13" i="51"/>
  <c r="CB66" i="1"/>
  <c r="EA66" i="1"/>
  <c r="EN66" i="1" s="1"/>
  <c r="CO66" i="1"/>
  <c r="DB66" i="1" s="1"/>
  <c r="N63" i="51"/>
  <c r="CO78" i="1"/>
  <c r="DB78" i="1" s="1"/>
  <c r="N75" i="51"/>
  <c r="EA78" i="1"/>
  <c r="EN78" i="1" s="1"/>
  <c r="CB78" i="1"/>
  <c r="CO13" i="1"/>
  <c r="DB13" i="1" s="1"/>
  <c r="N10" i="51"/>
  <c r="CB13" i="1"/>
  <c r="EA13" i="1"/>
  <c r="EN13" i="1" s="1"/>
  <c r="EA32" i="1"/>
  <c r="EN32" i="1" s="1"/>
  <c r="CB32" i="1"/>
  <c r="N29" i="51"/>
  <c r="CO32" i="1"/>
  <c r="DB32" i="1" s="1"/>
  <c r="AW13" i="1"/>
  <c r="P13" i="55"/>
  <c r="P11" i="55"/>
  <c r="J86" i="55"/>
  <c r="J83" i="55"/>
  <c r="BW78" i="1"/>
  <c r="DV78" i="1"/>
  <c r="EI78" i="1" s="1"/>
  <c r="I59" i="51"/>
  <c r="CJ62" i="1"/>
  <c r="CW62" i="1" s="1"/>
  <c r="DV79" i="1"/>
  <c r="EI79" i="1" s="1"/>
  <c r="BW79" i="1"/>
  <c r="BW72" i="1"/>
  <c r="DV72" i="1"/>
  <c r="EI72" i="1" s="1"/>
  <c r="DV14" i="1"/>
  <c r="EI14" i="1" s="1"/>
  <c r="BW14" i="1"/>
  <c r="DV66" i="1"/>
  <c r="EI66" i="1" s="1"/>
  <c r="BW66" i="1"/>
  <c r="DV71" i="1"/>
  <c r="EI71" i="1" s="1"/>
  <c r="BW71" i="1"/>
  <c r="I74" i="51"/>
  <c r="CJ77" i="1"/>
  <c r="CW77" i="1" s="1"/>
  <c r="BW48" i="1"/>
  <c r="I62" i="51"/>
  <c r="CJ65" i="1"/>
  <c r="CW65" i="1" s="1"/>
  <c r="I67" i="51"/>
  <c r="CJ70" i="1"/>
  <c r="CW70" i="1" s="1"/>
  <c r="CJ71" i="1"/>
  <c r="CW71" i="1" s="1"/>
  <c r="I68" i="51"/>
  <c r="DV34" i="1"/>
  <c r="EI34" i="1" s="1"/>
  <c r="BW34" i="1"/>
  <c r="DV25" i="1"/>
  <c r="EI25" i="1" s="1"/>
  <c r="BW25" i="1"/>
  <c r="DV53" i="1"/>
  <c r="EI53" i="1" s="1"/>
  <c r="BW53" i="1"/>
  <c r="BW54" i="1"/>
  <c r="DV54" i="1"/>
  <c r="EI54" i="1" s="1"/>
  <c r="DV20" i="1"/>
  <c r="EI20" i="1" s="1"/>
  <c r="BW20" i="1"/>
  <c r="CJ57" i="1"/>
  <c r="I54" i="51"/>
  <c r="DV23" i="1"/>
  <c r="EI23" i="1" s="1"/>
  <c r="BW23" i="1"/>
  <c r="BW26" i="1"/>
  <c r="DV26" i="1"/>
  <c r="EI26" i="1" s="1"/>
  <c r="BW18" i="1"/>
  <c r="DV18" i="1"/>
  <c r="EI18" i="1" s="1"/>
  <c r="DV51" i="1"/>
  <c r="EI51" i="1" s="1"/>
  <c r="BW51" i="1"/>
  <c r="BW15" i="1"/>
  <c r="DV15" i="1"/>
  <c r="EI15" i="1" s="1"/>
  <c r="CJ33" i="1"/>
  <c r="CW33" i="1" s="1"/>
  <c r="I30" i="51"/>
  <c r="BW57" i="1"/>
  <c r="DV57" i="1"/>
  <c r="EI57" i="1" s="1"/>
  <c r="O21" i="39"/>
  <c r="U21" i="1"/>
  <c r="DW21" i="1" s="1"/>
  <c r="EJ21" i="1" s="1"/>
  <c r="CK30" i="1"/>
  <c r="CX30" i="1" s="1"/>
  <c r="J27" i="51"/>
  <c r="Q16" i="51"/>
  <c r="CE19" i="1"/>
  <c r="ED19" i="1"/>
  <c r="EQ19" i="1" s="1"/>
  <c r="CR19" i="1"/>
  <c r="DE19" i="1" s="1"/>
  <c r="Q36" i="51"/>
  <c r="CE39" i="1"/>
  <c r="CR39" i="1"/>
  <c r="DE39" i="1" s="1"/>
  <c r="ED39" i="1"/>
  <c r="EQ39" i="1" s="1"/>
  <c r="ED23" i="1"/>
  <c r="EQ23" i="1" s="1"/>
  <c r="CR23" i="1"/>
  <c r="DE23" i="1" s="1"/>
  <c r="CE23" i="1"/>
  <c r="Q20" i="51"/>
  <c r="CR26" i="1"/>
  <c r="DE26" i="1" s="1"/>
  <c r="Q23" i="51"/>
  <c r="CE26" i="1"/>
  <c r="ED26" i="1"/>
  <c r="EQ26" i="1" s="1"/>
  <c r="ED75" i="1"/>
  <c r="EQ75" i="1" s="1"/>
  <c r="CE75" i="1"/>
  <c r="CR75" i="1"/>
  <c r="DE75" i="1" s="1"/>
  <c r="Q72" i="51"/>
  <c r="CE69" i="1"/>
  <c r="Q66" i="51"/>
  <c r="CR69" i="1"/>
  <c r="DE69" i="1" s="1"/>
  <c r="ED69" i="1"/>
  <c r="EQ69" i="1" s="1"/>
  <c r="Q62" i="51"/>
  <c r="ED65" i="1"/>
  <c r="EQ65" i="1" s="1"/>
  <c r="CE65" i="1"/>
  <c r="CR65" i="1"/>
  <c r="DE65" i="1" s="1"/>
  <c r="CE66" i="1"/>
  <c r="ED66" i="1"/>
  <c r="EQ66" i="1" s="1"/>
  <c r="CR66" i="1"/>
  <c r="DE66" i="1" s="1"/>
  <c r="Q63" i="51"/>
  <c r="CE80" i="1"/>
  <c r="CR80" i="1"/>
  <c r="DE80" i="1" s="1"/>
  <c r="ED80" i="1"/>
  <c r="EQ80" i="1" s="1"/>
  <c r="Q77" i="51"/>
  <c r="Q71" i="51"/>
  <c r="CR74" i="1"/>
  <c r="DE74" i="1" s="1"/>
  <c r="ED74" i="1"/>
  <c r="EQ74" i="1" s="1"/>
  <c r="CE74" i="1"/>
  <c r="AW38" i="1"/>
  <c r="P38" i="55"/>
  <c r="DZ12" i="1"/>
  <c r="EM12" i="1" s="1"/>
  <c r="CA12" i="1"/>
  <c r="CA77" i="1"/>
  <c r="DZ77" i="1"/>
  <c r="EM77" i="1" s="1"/>
  <c r="DZ61" i="1"/>
  <c r="EM61" i="1" s="1"/>
  <c r="CN61" i="1"/>
  <c r="DA61" i="1" s="1"/>
  <c r="M58" i="51"/>
  <c r="M55" i="51"/>
  <c r="CN58" i="1"/>
  <c r="DA58" i="1" s="1"/>
  <c r="DZ23" i="1"/>
  <c r="EM23" i="1" s="1"/>
  <c r="CA23" i="1"/>
  <c r="CA68" i="1"/>
  <c r="DZ68" i="1"/>
  <c r="EM68" i="1" s="1"/>
  <c r="M50" i="51"/>
  <c r="CN53" i="1"/>
  <c r="DA53" i="1" s="1"/>
  <c r="CA52" i="1"/>
  <c r="DZ52" i="1"/>
  <c r="EM52" i="1" s="1"/>
  <c r="M40" i="51"/>
  <c r="CN43" i="1"/>
  <c r="DA43" i="1" s="1"/>
  <c r="DZ21" i="1"/>
  <c r="EM21" i="1" s="1"/>
  <c r="CA21" i="1"/>
  <c r="CA74" i="1"/>
  <c r="DZ74" i="1"/>
  <c r="EM74" i="1" s="1"/>
  <c r="M46" i="51"/>
  <c r="CN49" i="1"/>
  <c r="DA49" i="1" s="1"/>
  <c r="DZ14" i="1"/>
  <c r="EM14" i="1" s="1"/>
  <c r="CA14" i="1"/>
  <c r="CA38" i="1"/>
  <c r="DZ38" i="1"/>
  <c r="EM38" i="1" s="1"/>
  <c r="M35" i="51"/>
  <c r="CN38" i="1"/>
  <c r="DA38" i="1" s="1"/>
  <c r="DZ15" i="1"/>
  <c r="EM15" i="1" s="1"/>
  <c r="CA15" i="1"/>
  <c r="M68" i="51"/>
  <c r="CN71" i="1"/>
  <c r="DA71" i="1" s="1"/>
  <c r="M41" i="51"/>
  <c r="CN44" i="1"/>
  <c r="DA44" i="1" s="1"/>
  <c r="CN23" i="1"/>
  <c r="DA23" i="1" s="1"/>
  <c r="M20" i="51"/>
  <c r="DZ79" i="1"/>
  <c r="EM79" i="1" s="1"/>
  <c r="CA79" i="1"/>
  <c r="M53" i="51"/>
  <c r="CN56" i="1"/>
  <c r="DA56" i="1" s="1"/>
  <c r="M23" i="51"/>
  <c r="CN26" i="1"/>
  <c r="DA26" i="1" s="1"/>
  <c r="CA65" i="1"/>
  <c r="DZ65" i="1"/>
  <c r="EM65" i="1" s="1"/>
  <c r="M28" i="51"/>
  <c r="CN31" i="1"/>
  <c r="DA31" i="1" s="1"/>
  <c r="M22" i="51"/>
  <c r="CN25" i="1"/>
  <c r="DA25" i="1" s="1"/>
  <c r="CA29" i="1"/>
  <c r="DZ29" i="1"/>
  <c r="EM29" i="1" s="1"/>
  <c r="DZ19" i="1"/>
  <c r="EM19" i="1" s="1"/>
  <c r="CA19" i="1"/>
  <c r="M75" i="51"/>
  <c r="CN78" i="1"/>
  <c r="DA78" i="1" s="1"/>
  <c r="CA67" i="1"/>
  <c r="DZ67" i="1"/>
  <c r="EM67" i="1" s="1"/>
  <c r="DZ17" i="1"/>
  <c r="EM17" i="1" s="1"/>
  <c r="CA17" i="1"/>
  <c r="CA62" i="1"/>
  <c r="BT62" i="1" s="1"/>
  <c r="DZ62" i="1"/>
  <c r="EM62" i="1" s="1"/>
  <c r="DZ39" i="1"/>
  <c r="EM39" i="1" s="1"/>
  <c r="CA39" i="1"/>
  <c r="M76" i="51"/>
  <c r="CN79" i="1"/>
  <c r="DA79" i="1" s="1"/>
  <c r="BX48" i="1"/>
  <c r="DW64" i="1"/>
  <c r="EJ64" i="1" s="1"/>
  <c r="BX64" i="1"/>
  <c r="J61" i="51"/>
  <c r="CK64" i="1"/>
  <c r="CX64" i="1" s="1"/>
  <c r="BX63" i="1"/>
  <c r="DW63" i="1"/>
  <c r="EJ63" i="1" s="1"/>
  <c r="CK28" i="1"/>
  <c r="CX28" i="1" s="1"/>
  <c r="J25" i="51"/>
  <c r="DW17" i="1"/>
  <c r="EJ17" i="1" s="1"/>
  <c r="BX17" i="1"/>
  <c r="DW14" i="1"/>
  <c r="EJ14" i="1" s="1"/>
  <c r="BX14" i="1"/>
  <c r="BT14" i="1" s="1"/>
  <c r="CK66" i="1"/>
  <c r="CX66" i="1" s="1"/>
  <c r="J63" i="51"/>
  <c r="DW50" i="1"/>
  <c r="EJ50" i="1" s="1"/>
  <c r="BX50" i="1"/>
  <c r="J58" i="51"/>
  <c r="CK61" i="1"/>
  <c r="CX61" i="1" s="1"/>
  <c r="DW36" i="1"/>
  <c r="EJ36" i="1" s="1"/>
  <c r="BX36" i="1"/>
  <c r="DW49" i="1"/>
  <c r="EJ49" i="1" s="1"/>
  <c r="BX49" i="1"/>
  <c r="DW77" i="1"/>
  <c r="EJ77" i="1" s="1"/>
  <c r="BX77" i="1"/>
  <c r="DW78" i="1"/>
  <c r="EJ78" i="1" s="1"/>
  <c r="BX78" i="1"/>
  <c r="DW58" i="1"/>
  <c r="EJ58" i="1" s="1"/>
  <c r="BX58" i="1"/>
  <c r="BX25" i="1"/>
  <c r="DW25" i="1"/>
  <c r="EJ25" i="1" s="1"/>
  <c r="DW76" i="1"/>
  <c r="EJ76" i="1" s="1"/>
  <c r="BX76" i="1"/>
  <c r="CK47" i="1"/>
  <c r="CX47" i="1" s="1"/>
  <c r="J44" i="51"/>
  <c r="DW31" i="1"/>
  <c r="EJ31" i="1" s="1"/>
  <c r="BX31" i="1"/>
  <c r="BT31" i="1" s="1"/>
  <c r="BX44" i="1"/>
  <c r="DW44" i="1"/>
  <c r="EJ44" i="1" s="1"/>
  <c r="BX18" i="1"/>
  <c r="DW68" i="1"/>
  <c r="EJ68" i="1" s="1"/>
  <c r="BX68" i="1"/>
  <c r="DW74" i="1"/>
  <c r="EJ74" i="1" s="1"/>
  <c r="BX74" i="1"/>
  <c r="O43" i="39"/>
  <c r="U43" i="1"/>
  <c r="CL46" i="1"/>
  <c r="CY46" i="1" s="1"/>
  <c r="K43" i="51"/>
  <c r="CL70" i="1"/>
  <c r="CY70" i="1" s="1"/>
  <c r="K67" i="51"/>
  <c r="BY34" i="1"/>
  <c r="DX34" i="1"/>
  <c r="EK34" i="1" s="1"/>
  <c r="CL75" i="1"/>
  <c r="CY75" i="1" s="1"/>
  <c r="K72" i="51"/>
  <c r="BY36" i="1"/>
  <c r="DX36" i="1"/>
  <c r="EK36" i="1" s="1"/>
  <c r="BY30" i="1"/>
  <c r="DX30" i="1"/>
  <c r="EK30" i="1" s="1"/>
  <c r="K70" i="51"/>
  <c r="CL73" i="1"/>
  <c r="CY73" i="1" s="1"/>
  <c r="DX63" i="1"/>
  <c r="EK63" i="1" s="1"/>
  <c r="BY63" i="1"/>
  <c r="K62" i="51"/>
  <c r="CL65" i="1"/>
  <c r="CY65" i="1" s="1"/>
  <c r="BY15" i="1"/>
  <c r="DX15" i="1"/>
  <c r="EK15" i="1" s="1"/>
  <c r="BY49" i="1"/>
  <c r="DX49" i="1"/>
  <c r="EK49" i="1" s="1"/>
  <c r="ES49" i="1" s="1"/>
  <c r="BQ49" i="1" s="1"/>
  <c r="BR49" i="1" s="1"/>
  <c r="BY66" i="1"/>
  <c r="DX66" i="1"/>
  <c r="EK66" i="1" s="1"/>
  <c r="BY79" i="1"/>
  <c r="DX79" i="1"/>
  <c r="EK79" i="1" s="1"/>
  <c r="BY26" i="1"/>
  <c r="DX26" i="1"/>
  <c r="EK26" i="1" s="1"/>
  <c r="K46" i="51"/>
  <c r="CL49" i="1"/>
  <c r="CY49" i="1" s="1"/>
  <c r="CL71" i="1"/>
  <c r="CY71" i="1" s="1"/>
  <c r="K68" i="51"/>
  <c r="CL48" i="1"/>
  <c r="CY48" i="1" s="1"/>
  <c r="K45" i="51"/>
  <c r="BY55" i="1"/>
  <c r="DX55" i="1"/>
  <c r="EK55" i="1" s="1"/>
  <c r="K19" i="51"/>
  <c r="CL22" i="1"/>
  <c r="CY22" i="1" s="1"/>
  <c r="DX76" i="1"/>
  <c r="EK76" i="1" s="1"/>
  <c r="BY76" i="1"/>
  <c r="BY77" i="1"/>
  <c r="DX77" i="1"/>
  <c r="EK77" i="1" s="1"/>
  <c r="CL67" i="1"/>
  <c r="CY67" i="1" s="1"/>
  <c r="K64" i="51"/>
  <c r="DX41" i="1"/>
  <c r="EK41" i="1" s="1"/>
  <c r="BY41" i="1"/>
  <c r="L73" i="51"/>
  <c r="CM76" i="1"/>
  <c r="CZ76" i="1" s="1"/>
  <c r="DY27" i="1"/>
  <c r="EL27" i="1" s="1"/>
  <c r="BZ27" i="1"/>
  <c r="DY55" i="1"/>
  <c r="EL55" i="1" s="1"/>
  <c r="BZ55" i="1"/>
  <c r="BZ75" i="1"/>
  <c r="DY75" i="1"/>
  <c r="EL75" i="1" s="1"/>
  <c r="L25" i="51"/>
  <c r="CM28" i="1"/>
  <c r="CZ28" i="1" s="1"/>
  <c r="L70" i="51"/>
  <c r="CM73" i="1"/>
  <c r="CZ73" i="1" s="1"/>
  <c r="DY43" i="1"/>
  <c r="EL43" i="1" s="1"/>
  <c r="BZ43" i="1"/>
  <c r="L12" i="51"/>
  <c r="CM15" i="1"/>
  <c r="CZ15" i="1" s="1"/>
  <c r="DY22" i="1"/>
  <c r="EL22" i="1" s="1"/>
  <c r="BZ22" i="1"/>
  <c r="DY39" i="1"/>
  <c r="EL39" i="1" s="1"/>
  <c r="BZ39" i="1"/>
  <c r="BT39" i="1" s="1"/>
  <c r="L50" i="51"/>
  <c r="CM53" i="1"/>
  <c r="CZ53" i="1" s="1"/>
  <c r="BZ58" i="1"/>
  <c r="DY58" i="1"/>
  <c r="EL58" i="1" s="1"/>
  <c r="BZ25" i="1"/>
  <c r="DY25" i="1"/>
  <c r="EL25" i="1" s="1"/>
  <c r="CM36" i="1"/>
  <c r="CZ36" i="1" s="1"/>
  <c r="L33" i="51"/>
  <c r="BZ52" i="1"/>
  <c r="DY52" i="1"/>
  <c r="EL52" i="1" s="1"/>
  <c r="CM48" i="1"/>
  <c r="CZ48" i="1" s="1"/>
  <c r="L45" i="51"/>
  <c r="DY35" i="1"/>
  <c r="EL35" i="1" s="1"/>
  <c r="BZ35" i="1"/>
  <c r="DY61" i="1"/>
  <c r="EL61" i="1" s="1"/>
  <c r="BZ61" i="1"/>
  <c r="CM39" i="1"/>
  <c r="CZ39" i="1" s="1"/>
  <c r="L36" i="51"/>
  <c r="BZ47" i="1"/>
  <c r="DY47" i="1"/>
  <c r="EL47" i="1" s="1"/>
  <c r="L14" i="51"/>
  <c r="CM17" i="1"/>
  <c r="CZ17" i="1" s="1"/>
  <c r="L13" i="51"/>
  <c r="CM16" i="1"/>
  <c r="CZ16" i="1" s="1"/>
  <c r="CM68" i="1"/>
  <c r="CZ68" i="1" s="1"/>
  <c r="L65" i="51"/>
  <c r="DY66" i="1"/>
  <c r="EL66" i="1" s="1"/>
  <c r="BZ66" i="1"/>
  <c r="L59" i="51"/>
  <c r="CM62" i="1"/>
  <c r="CZ62" i="1" s="1"/>
  <c r="L69" i="51"/>
  <c r="CM72" i="1"/>
  <c r="CZ72" i="1" s="1"/>
  <c r="DY45" i="1"/>
  <c r="EL45" i="1" s="1"/>
  <c r="BZ45" i="1"/>
  <c r="DY19" i="1"/>
  <c r="EL19" i="1" s="1"/>
  <c r="L16" i="51"/>
  <c r="CM19" i="1"/>
  <c r="CZ19" i="1" s="1"/>
  <c r="CM46" i="1"/>
  <c r="CZ46" i="1" s="1"/>
  <c r="L43" i="51"/>
  <c r="CM24" i="1"/>
  <c r="CZ24" i="1" s="1"/>
  <c r="L21" i="51"/>
  <c r="DY79" i="1"/>
  <c r="EL79" i="1" s="1"/>
  <c r="BZ79" i="1"/>
  <c r="O47" i="38"/>
  <c r="Q47" i="1"/>
  <c r="CK17" i="1"/>
  <c r="CX17" i="1" s="1"/>
  <c r="J14" i="51"/>
  <c r="ED44" i="1"/>
  <c r="EQ44" i="1" s="1"/>
  <c r="CE44" i="1"/>
  <c r="Q41" i="51"/>
  <c r="CR44" i="1"/>
  <c r="DE44" i="1" s="1"/>
  <c r="BH70" i="1"/>
  <c r="CD47" i="1"/>
  <c r="CF19" i="1"/>
  <c r="CD25" i="1"/>
  <c r="ED54" i="1"/>
  <c r="EQ54" i="1" s="1"/>
  <c r="F88" i="64"/>
  <c r="DX21" i="1"/>
  <c r="EK21" i="1" s="1"/>
  <c r="Q32" i="1"/>
  <c r="Q11" i="1"/>
  <c r="Q48" i="1"/>
  <c r="DV48" i="1" s="1"/>
  <c r="EI48" i="1" s="1"/>
  <c r="EF62" i="1"/>
  <c r="BE62" i="1" s="1"/>
  <c r="EF79" i="1"/>
  <c r="BE79" i="1" s="1"/>
  <c r="Q60" i="1"/>
  <c r="DV60" i="1" s="1"/>
  <c r="Q44" i="1"/>
  <c r="Q59" i="1"/>
  <c r="DV59" i="1" s="1"/>
  <c r="U34" i="1"/>
  <c r="DW34" i="1" s="1"/>
  <c r="EJ34" i="1" s="1"/>
  <c r="U12" i="1"/>
  <c r="DW12" i="1" s="1"/>
  <c r="EJ12" i="1" s="1"/>
  <c r="U18" i="1"/>
  <c r="DW18" i="1" s="1"/>
  <c r="EJ18" i="1" s="1"/>
  <c r="U46" i="1"/>
  <c r="Y19" i="1"/>
  <c r="Y44" i="1"/>
  <c r="DX44" i="1" s="1"/>
  <c r="EK44" i="1" s="1"/>
  <c r="Y60" i="1"/>
  <c r="DX60" i="1" s="1"/>
  <c r="EK60" i="1" s="1"/>
  <c r="Y35" i="1"/>
  <c r="Y11" i="1"/>
  <c r="Y50" i="1"/>
  <c r="DX50" i="1" s="1"/>
  <c r="Y45" i="1"/>
  <c r="BH37" i="1"/>
  <c r="BH33" i="1"/>
  <c r="CG62" i="1"/>
  <c r="EE21" i="1"/>
  <c r="ER21" i="1" s="1"/>
  <c r="F84" i="64"/>
  <c r="R24" i="51"/>
  <c r="H85" i="64"/>
  <c r="BM55" i="1"/>
  <c r="BT11" i="1"/>
  <c r="R18" i="51"/>
  <c r="CF27" i="1"/>
  <c r="EC57" i="1"/>
  <c r="EP57" i="1" s="1"/>
  <c r="CD57" i="1"/>
  <c r="BH55" i="1"/>
  <c r="EC38" i="1"/>
  <c r="EP38" i="1" s="1"/>
  <c r="EC36" i="1"/>
  <c r="CD19" i="1"/>
  <c r="CT49" i="1"/>
  <c r="ET49" i="1" s="1"/>
  <c r="P35" i="51"/>
  <c r="CD36" i="1"/>
  <c r="CQ54" i="1"/>
  <c r="DD54" i="1" s="1"/>
  <c r="P55" i="51"/>
  <c r="P16" i="51"/>
  <c r="H84" i="53"/>
  <c r="CD48" i="1"/>
  <c r="P45" i="51"/>
  <c r="EC48" i="1"/>
  <c r="EP48" i="1" s="1"/>
  <c r="BT16" i="1"/>
  <c r="P12" i="51"/>
  <c r="F69" i="51"/>
  <c r="H84" i="37"/>
  <c r="H88" i="37"/>
  <c r="H87" i="37"/>
  <c r="BT74" i="1"/>
  <c r="F59" i="51"/>
  <c r="F84" i="36"/>
  <c r="H85" i="36"/>
  <c r="F86" i="36"/>
  <c r="ER48" i="1"/>
  <c r="EP15" i="1"/>
  <c r="EH59" i="1"/>
  <c r="CU58" i="1"/>
  <c r="CU36" i="1"/>
  <c r="CU26" i="1"/>
  <c r="CU56" i="1"/>
  <c r="CU19" i="1"/>
  <c r="CU14" i="1"/>
  <c r="CU37" i="1"/>
  <c r="CU17" i="1"/>
  <c r="CU27" i="1"/>
  <c r="CU52" i="1"/>
  <c r="BL55" i="1"/>
  <c r="CU55" i="1"/>
  <c r="ES31" i="1"/>
  <c r="BQ31" i="1" s="1"/>
  <c r="BR31" i="1" s="1"/>
  <c r="H86" i="53"/>
  <c r="BM49" i="1"/>
  <c r="BH15" i="1"/>
  <c r="BT19" i="1"/>
  <c r="F72" i="51"/>
  <c r="E63" i="51"/>
  <c r="BT20" i="1"/>
  <c r="EC58" i="1"/>
  <c r="BT63" i="1"/>
  <c r="CS14" i="1"/>
  <c r="DF14" i="1" s="1"/>
  <c r="H83" i="36"/>
  <c r="F83" i="36"/>
  <c r="H87" i="53"/>
  <c r="F88" i="36"/>
  <c r="BL51" i="1"/>
  <c r="CU51" i="1"/>
  <c r="CU43" i="1"/>
  <c r="CU11" i="1"/>
  <c r="CU50" i="1"/>
  <c r="CU60" i="1"/>
  <c r="H87" i="64"/>
  <c r="H88" i="64"/>
  <c r="H86" i="64"/>
  <c r="H84" i="64"/>
  <c r="H83" i="64"/>
  <c r="CU31" i="1"/>
  <c r="CU44" i="1"/>
  <c r="G50" i="51"/>
  <c r="CH53" i="1"/>
  <c r="CU40" i="1"/>
  <c r="CU23" i="1"/>
  <c r="CU28" i="1"/>
  <c r="CU42" i="1"/>
  <c r="CU29" i="1"/>
  <c r="CU45" i="1"/>
  <c r="CU59" i="1"/>
  <c r="CU48" i="1"/>
  <c r="CU18" i="1"/>
  <c r="H23" i="51"/>
  <c r="CI26" i="1"/>
  <c r="CV26" i="1" s="1"/>
  <c r="CU20" i="1"/>
  <c r="CU33" i="1"/>
  <c r="CU15" i="1"/>
  <c r="CU24" i="1"/>
  <c r="BT56" i="1"/>
  <c r="CG65" i="1"/>
  <c r="BT79" i="1"/>
  <c r="BT24" i="1"/>
  <c r="F85" i="64"/>
  <c r="EC34" i="1"/>
  <c r="CD15" i="1"/>
  <c r="F86" i="53"/>
  <c r="BN17" i="1"/>
  <c r="BN55" i="1"/>
  <c r="BH54" i="1"/>
  <c r="BT66" i="1"/>
  <c r="BT21" i="1"/>
  <c r="F86" i="64"/>
  <c r="CF51" i="1"/>
  <c r="BT51" i="1" s="1"/>
  <c r="P51" i="51"/>
  <c r="P31" i="51"/>
  <c r="CD58" i="1"/>
  <c r="CF48" i="1"/>
  <c r="R11" i="51"/>
  <c r="CQ15" i="1"/>
  <c r="F84" i="53"/>
  <c r="F83" i="53"/>
  <c r="CS32" i="1"/>
  <c r="DF32" i="1" s="1"/>
  <c r="H86" i="37"/>
  <c r="H84" i="36"/>
  <c r="F85" i="36"/>
  <c r="ES17" i="1"/>
  <c r="BQ17" i="1" s="1"/>
  <c r="BR17" i="1" s="1"/>
  <c r="ES55" i="1"/>
  <c r="BQ55" i="1" s="1"/>
  <c r="BR55" i="1" s="1"/>
  <c r="DT53" i="1"/>
  <c r="H88" i="53"/>
  <c r="H85" i="53"/>
  <c r="H87" i="36"/>
  <c r="H56" i="51"/>
  <c r="CI59" i="1"/>
  <c r="CU21" i="1"/>
  <c r="CU47" i="1"/>
  <c r="CU25" i="1"/>
  <c r="CU32" i="1"/>
  <c r="CU39" i="1"/>
  <c r="CU30" i="1"/>
  <c r="CU41" i="1"/>
  <c r="CU12" i="1"/>
  <c r="CU34" i="1"/>
  <c r="CU54" i="1"/>
  <c r="F85" i="37"/>
  <c r="F86" i="37"/>
  <c r="F88" i="37"/>
  <c r="F87" i="37"/>
  <c r="F83" i="37"/>
  <c r="F84" i="37"/>
  <c r="CU57" i="1"/>
  <c r="CU13" i="1"/>
  <c r="BL49" i="1"/>
  <c r="CU49" i="1"/>
  <c r="CU16" i="1"/>
  <c r="CU35" i="1"/>
  <c r="CU38" i="1"/>
  <c r="CU22" i="1"/>
  <c r="CU46" i="1"/>
  <c r="EC54" i="1"/>
  <c r="CS48" i="1"/>
  <c r="DF48" i="1" s="1"/>
  <c r="BN51" i="1"/>
  <c r="BT18" i="1"/>
  <c r="F83" i="64"/>
  <c r="F87" i="64"/>
  <c r="F85" i="53"/>
  <c r="H85" i="37"/>
  <c r="H83" i="53"/>
  <c r="BT46" i="1"/>
  <c r="F76" i="51"/>
  <c r="BT47" i="1"/>
  <c r="BT72" i="1"/>
  <c r="BT67" i="1"/>
  <c r="F74" i="51"/>
  <c r="CG14" i="1"/>
  <c r="BT15" i="1"/>
  <c r="CT63" i="1"/>
  <c r="ET63" i="1" s="1"/>
  <c r="BT61" i="1"/>
  <c r="CT14" i="1"/>
  <c r="BD14" i="1" s="1"/>
  <c r="E66" i="51"/>
  <c r="DC76" i="1"/>
  <c r="CG76" i="1"/>
  <c r="DC19" i="1"/>
  <c r="DC46" i="1"/>
  <c r="DC71" i="1"/>
  <c r="CT71" i="1"/>
  <c r="DC28" i="1"/>
  <c r="DC30" i="1"/>
  <c r="DC22" i="1"/>
  <c r="E58" i="51"/>
  <c r="F48" i="51"/>
  <c r="E70" i="51"/>
  <c r="F70" i="51"/>
  <c r="DC53" i="1"/>
  <c r="F39" i="51"/>
  <c r="CT76" i="1"/>
  <c r="E76" i="51"/>
  <c r="DC37" i="1"/>
  <c r="DC67" i="1"/>
  <c r="CG67" i="1"/>
  <c r="DC35" i="1"/>
  <c r="DC39" i="1"/>
  <c r="DC48" i="1"/>
  <c r="DC11" i="1"/>
  <c r="DC38" i="1"/>
  <c r="DC79" i="1"/>
  <c r="CT79" i="1"/>
  <c r="DC60" i="1"/>
  <c r="DC18" i="1"/>
  <c r="DC29" i="1"/>
  <c r="DC74" i="1"/>
  <c r="CT74" i="1"/>
  <c r="DC45" i="1"/>
  <c r="DC44" i="1"/>
  <c r="E64" i="51"/>
  <c r="DC78" i="1"/>
  <c r="CG78" i="1"/>
  <c r="DC80" i="1"/>
  <c r="DC26" i="1"/>
  <c r="DC51" i="1"/>
  <c r="CG51" i="1"/>
  <c r="DC73" i="1"/>
  <c r="DC13" i="1"/>
  <c r="DC21" i="1"/>
  <c r="DC47" i="1"/>
  <c r="DC70" i="1"/>
  <c r="DC41" i="1"/>
  <c r="DC69" i="1"/>
  <c r="E73" i="51"/>
  <c r="CG68" i="1"/>
  <c r="CG63" i="1"/>
  <c r="F63" i="51"/>
  <c r="CT62" i="1"/>
  <c r="E68" i="51"/>
  <c r="DC77" i="1"/>
  <c r="CG77" i="1"/>
  <c r="E65" i="51"/>
  <c r="DC42" i="1"/>
  <c r="CG42" i="1"/>
  <c r="DC43" i="1"/>
  <c r="O78" i="51"/>
  <c r="DC75" i="1"/>
  <c r="CT75" i="1"/>
  <c r="DC54" i="1"/>
  <c r="DC55" i="1"/>
  <c r="DC61" i="1"/>
  <c r="F46" i="51"/>
  <c r="E46" i="51"/>
  <c r="DC24" i="1"/>
  <c r="DC58" i="1"/>
  <c r="F62" i="51"/>
  <c r="DC23" i="1"/>
  <c r="F66" i="51"/>
  <c r="E52" i="51"/>
  <c r="BT17" i="1" l="1"/>
  <c r="DU43" i="1"/>
  <c r="EH43" i="1" s="1"/>
  <c r="CI43" i="1"/>
  <c r="CV43" i="1" s="1"/>
  <c r="H40" i="51"/>
  <c r="H17" i="51"/>
  <c r="DU20" i="1"/>
  <c r="EH20" i="1" s="1"/>
  <c r="ES20" i="1" s="1"/>
  <c r="BQ20" i="1" s="1"/>
  <c r="BR20" i="1" s="1"/>
  <c r="CI20" i="1"/>
  <c r="DU30" i="1"/>
  <c r="EH30" i="1" s="1"/>
  <c r="CI30" i="1"/>
  <c r="CV30" i="1" s="1"/>
  <c r="H27" i="51"/>
  <c r="H19" i="51"/>
  <c r="CI22" i="1"/>
  <c r="CV22" i="1" s="1"/>
  <c r="DU22" i="1"/>
  <c r="EH22" i="1" s="1"/>
  <c r="DU27" i="1"/>
  <c r="EH27" i="1" s="1"/>
  <c r="H24" i="51"/>
  <c r="CI27" i="1"/>
  <c r="CV27" i="1" s="1"/>
  <c r="BT76" i="1"/>
  <c r="F17" i="51"/>
  <c r="H36" i="51"/>
  <c r="DU39" i="1"/>
  <c r="CI39" i="1"/>
  <c r="CV39" i="1" s="1"/>
  <c r="H29" i="51"/>
  <c r="CI32" i="1"/>
  <c r="CV32" i="1" s="1"/>
  <c r="DU32" i="1"/>
  <c r="EH32" i="1" s="1"/>
  <c r="CI36" i="1"/>
  <c r="CV36" i="1" s="1"/>
  <c r="DU36" i="1"/>
  <c r="EH36" i="1" s="1"/>
  <c r="H33" i="51"/>
  <c r="H49" i="51"/>
  <c r="DU52" i="1"/>
  <c r="EH52" i="1" s="1"/>
  <c r="CI52" i="1"/>
  <c r="CV52" i="1" s="1"/>
  <c r="EJ24" i="1"/>
  <c r="BN24" i="1"/>
  <c r="BT43" i="1"/>
  <c r="BT73" i="1"/>
  <c r="BT54" i="1"/>
  <c r="E61" i="51"/>
  <c r="BT26" i="1"/>
  <c r="F64" i="51"/>
  <c r="ES21" i="1"/>
  <c r="BQ21" i="1" s="1"/>
  <c r="BR21" i="1" s="1"/>
  <c r="BT65" i="1"/>
  <c r="CE32" i="1"/>
  <c r="BT32" i="1" s="1"/>
  <c r="Q29" i="51"/>
  <c r="BT77" i="1"/>
  <c r="BT25" i="1"/>
  <c r="F68" i="51"/>
  <c r="BT44" i="1"/>
  <c r="BT23" i="1"/>
  <c r="BT12" i="1"/>
  <c r="E62" i="51"/>
  <c r="E74" i="51"/>
  <c r="F85" i="38"/>
  <c r="BT80" i="1"/>
  <c r="BT52" i="1"/>
  <c r="F58" i="51"/>
  <c r="F60" i="51"/>
  <c r="BT55" i="1"/>
  <c r="BT71" i="1"/>
  <c r="E69" i="51"/>
  <c r="ES42" i="1"/>
  <c r="BQ42" i="1" s="1"/>
  <c r="BR42" i="1" s="1"/>
  <c r="BT70" i="1"/>
  <c r="E39" i="51"/>
  <c r="ES52" i="1"/>
  <c r="BQ52" i="1" s="1"/>
  <c r="BR52" i="1" s="1"/>
  <c r="ES23" i="1"/>
  <c r="BQ23" i="1" s="1"/>
  <c r="BR23" i="1" s="1"/>
  <c r="E67" i="51"/>
  <c r="ES14" i="1"/>
  <c r="BQ14" i="1" s="1"/>
  <c r="BR14" i="1" s="1"/>
  <c r="BT78" i="1"/>
  <c r="E75" i="51"/>
  <c r="E77" i="51"/>
  <c r="E59" i="51"/>
  <c r="E48" i="51"/>
  <c r="F73" i="51"/>
  <c r="ES51" i="1"/>
  <c r="BQ51" i="1" s="1"/>
  <c r="BR51" i="1" s="1"/>
  <c r="BT69" i="1"/>
  <c r="BT49" i="1"/>
  <c r="ES27" i="1"/>
  <c r="BQ27" i="1" s="1"/>
  <c r="BR27" i="1" s="1"/>
  <c r="BT64" i="1"/>
  <c r="CL31" i="1"/>
  <c r="CY31" i="1" s="1"/>
  <c r="K28" i="51"/>
  <c r="BT75" i="1"/>
  <c r="E17" i="51"/>
  <c r="BT53" i="1"/>
  <c r="BT42" i="1"/>
  <c r="E72" i="51"/>
  <c r="ES24" i="1"/>
  <c r="BQ24" i="1" s="1"/>
  <c r="BR24" i="1" s="1"/>
  <c r="F65" i="51"/>
  <c r="BT68" i="1"/>
  <c r="F71" i="51"/>
  <c r="F52" i="51"/>
  <c r="BT60" i="1"/>
  <c r="EI60" i="1"/>
  <c r="ES60" i="1" s="1"/>
  <c r="BQ60" i="1" s="1"/>
  <c r="BR60" i="1" s="1"/>
  <c r="BM60" i="1"/>
  <c r="BN60" i="1"/>
  <c r="EJ26" i="1"/>
  <c r="ES26" i="1" s="1"/>
  <c r="BQ26" i="1" s="1"/>
  <c r="BR26" i="1" s="1"/>
  <c r="BM26" i="1"/>
  <c r="BN26" i="1"/>
  <c r="EI59" i="1"/>
  <c r="EK50" i="1"/>
  <c r="EJ48" i="1"/>
  <c r="CJ32" i="1"/>
  <c r="I29" i="51"/>
  <c r="DX29" i="1"/>
  <c r="K26" i="51"/>
  <c r="CL29" i="1"/>
  <c r="DW56" i="1"/>
  <c r="J53" i="51"/>
  <c r="CK56" i="1"/>
  <c r="CE50" i="1"/>
  <c r="BT50" i="1" s="1"/>
  <c r="Q47" i="51"/>
  <c r="ED50" i="1"/>
  <c r="EQ50" i="1" s="1"/>
  <c r="CR50" i="1"/>
  <c r="DE50" i="1" s="1"/>
  <c r="CL57" i="1"/>
  <c r="K54" i="51"/>
  <c r="CJ45" i="1"/>
  <c r="I42" i="51"/>
  <c r="CJ21" i="1"/>
  <c r="I18" i="51"/>
  <c r="CK16" i="1"/>
  <c r="J13" i="51"/>
  <c r="K42" i="51"/>
  <c r="DX45" i="1"/>
  <c r="EK45" i="1" s="1"/>
  <c r="CL45" i="1"/>
  <c r="CY45" i="1" s="1"/>
  <c r="CL60" i="1"/>
  <c r="CY60" i="1" s="1"/>
  <c r="K57" i="51"/>
  <c r="J15" i="51"/>
  <c r="CK18" i="1"/>
  <c r="CX18" i="1" s="1"/>
  <c r="CJ44" i="1"/>
  <c r="I41" i="51"/>
  <c r="CJ48" i="1"/>
  <c r="CW48" i="1" s="1"/>
  <c r="I45" i="51"/>
  <c r="J40" i="51"/>
  <c r="CK43" i="1"/>
  <c r="DW43" i="1"/>
  <c r="EJ43" i="1" s="1"/>
  <c r="ES43" i="1" s="1"/>
  <c r="BQ43" i="1" s="1"/>
  <c r="BR43" i="1" s="1"/>
  <c r="ED38" i="1"/>
  <c r="Q35" i="51"/>
  <c r="CE38" i="1"/>
  <c r="BT38" i="1" s="1"/>
  <c r="CR38" i="1"/>
  <c r="DE38" i="1" s="1"/>
  <c r="CW57" i="1"/>
  <c r="H88" i="38"/>
  <c r="H87" i="38"/>
  <c r="CE48" i="1"/>
  <c r="CR48" i="1"/>
  <c r="DE48" i="1" s="1"/>
  <c r="ED48" i="1"/>
  <c r="EQ48" i="1" s="1"/>
  <c r="Q45" i="51"/>
  <c r="EI40" i="1"/>
  <c r="K22" i="51"/>
  <c r="E22" i="51" s="1"/>
  <c r="CL25" i="1"/>
  <c r="J56" i="51"/>
  <c r="CK59" i="1"/>
  <c r="CX59" i="1" s="1"/>
  <c r="CJ28" i="1"/>
  <c r="I25" i="51"/>
  <c r="DX12" i="1"/>
  <c r="EK12" i="1" s="1"/>
  <c r="ES12" i="1" s="1"/>
  <c r="BQ12" i="1" s="1"/>
  <c r="BR12" i="1" s="1"/>
  <c r="K9" i="51"/>
  <c r="CL12" i="1"/>
  <c r="CY12" i="1" s="1"/>
  <c r="CL18" i="1"/>
  <c r="CY18" i="1" s="1"/>
  <c r="K15" i="51"/>
  <c r="CK15" i="1"/>
  <c r="J12" i="51"/>
  <c r="F12" i="51" s="1"/>
  <c r="CR57" i="1"/>
  <c r="DE57" i="1" s="1"/>
  <c r="CE57" i="1"/>
  <c r="BT57" i="1" s="1"/>
  <c r="ED57" i="1"/>
  <c r="EQ57" i="1" s="1"/>
  <c r="Q54" i="51"/>
  <c r="I50" i="51"/>
  <c r="CJ53" i="1"/>
  <c r="CW53" i="1" s="1"/>
  <c r="ED59" i="1"/>
  <c r="EQ59" i="1" s="1"/>
  <c r="CE59" i="1"/>
  <c r="BT59" i="1" s="1"/>
  <c r="Q56" i="51"/>
  <c r="CR59" i="1"/>
  <c r="DE59" i="1" s="1"/>
  <c r="F88" i="39"/>
  <c r="F84" i="39"/>
  <c r="F85" i="39"/>
  <c r="F86" i="39"/>
  <c r="F87" i="39"/>
  <c r="H88" i="39"/>
  <c r="H85" i="39"/>
  <c r="F83" i="39"/>
  <c r="H87" i="39"/>
  <c r="H83" i="39"/>
  <c r="H84" i="39"/>
  <c r="H86" i="39"/>
  <c r="Q19" i="51"/>
  <c r="ED22" i="1"/>
  <c r="EQ22" i="1" s="1"/>
  <c r="CR22" i="1"/>
  <c r="DE22" i="1" s="1"/>
  <c r="CE22" i="1"/>
  <c r="BT22" i="1" s="1"/>
  <c r="Q32" i="51"/>
  <c r="ED35" i="1"/>
  <c r="EQ35" i="1" s="1"/>
  <c r="CE35" i="1"/>
  <c r="BT35" i="1" s="1"/>
  <c r="CR35" i="1"/>
  <c r="DE35" i="1" s="1"/>
  <c r="CJ54" i="1"/>
  <c r="I51" i="51"/>
  <c r="CR37" i="1"/>
  <c r="Q34" i="51"/>
  <c r="E34" i="51" s="1"/>
  <c r="ED37" i="1"/>
  <c r="EQ37" i="1" s="1"/>
  <c r="ES37" i="1" s="1"/>
  <c r="BQ37" i="1" s="1"/>
  <c r="BR37" i="1" s="1"/>
  <c r="CE37" i="1"/>
  <c r="BT37" i="1" s="1"/>
  <c r="J19" i="51"/>
  <c r="E19" i="51" s="1"/>
  <c r="CK22" i="1"/>
  <c r="BN23" i="1"/>
  <c r="H83" i="38"/>
  <c r="F67" i="51"/>
  <c r="F77" i="51"/>
  <c r="CT61" i="1"/>
  <c r="BD61" i="1" s="1"/>
  <c r="CG55" i="1"/>
  <c r="CG43" i="1"/>
  <c r="CT70" i="1"/>
  <c r="BD70" i="1" s="1"/>
  <c r="CG80" i="1"/>
  <c r="CT64" i="1"/>
  <c r="BD64" i="1" s="1"/>
  <c r="CG49" i="1"/>
  <c r="CT68" i="1"/>
  <c r="BD68" i="1" s="1"/>
  <c r="F22" i="51"/>
  <c r="CG66" i="1"/>
  <c r="F75" i="51"/>
  <c r="CT77" i="1"/>
  <c r="ET77" i="1" s="1"/>
  <c r="DG49" i="1"/>
  <c r="BO49" i="1" s="1"/>
  <c r="BP49" i="1" s="1"/>
  <c r="BT48" i="1"/>
  <c r="BN14" i="1"/>
  <c r="BN12" i="1"/>
  <c r="BK42" i="1"/>
  <c r="E50" i="51"/>
  <c r="DG51" i="1"/>
  <c r="BO51" i="1" s="1"/>
  <c r="BP51" i="1" s="1"/>
  <c r="DG55" i="1"/>
  <c r="BO55" i="1" s="1"/>
  <c r="BP55" i="1" s="1"/>
  <c r="BN15" i="1"/>
  <c r="BM27" i="1"/>
  <c r="CT73" i="1"/>
  <c r="CG69" i="1"/>
  <c r="BT27" i="1"/>
  <c r="DW59" i="1"/>
  <c r="EJ59" i="1" s="1"/>
  <c r="M78" i="51"/>
  <c r="DV32" i="1"/>
  <c r="H84" i="38"/>
  <c r="F83" i="38"/>
  <c r="F86" i="38"/>
  <c r="CL11" i="1"/>
  <c r="CY11" i="1" s="1"/>
  <c r="K8" i="51"/>
  <c r="K16" i="51"/>
  <c r="CL19" i="1"/>
  <c r="CY19" i="1" s="1"/>
  <c r="BN79" i="1"/>
  <c r="BH79" i="1"/>
  <c r="BM79" i="1"/>
  <c r="K32" i="51"/>
  <c r="E32" i="51" s="1"/>
  <c r="CL35" i="1"/>
  <c r="J43" i="51"/>
  <c r="CK46" i="1"/>
  <c r="CX46" i="1" s="1"/>
  <c r="CJ59" i="1"/>
  <c r="CW59" i="1" s="1"/>
  <c r="I56" i="51"/>
  <c r="BH62" i="1"/>
  <c r="BM62" i="1"/>
  <c r="BN62" i="1"/>
  <c r="CK21" i="1"/>
  <c r="CX21" i="1" s="1"/>
  <c r="J18" i="51"/>
  <c r="CE13" i="1"/>
  <c r="BT13" i="1" s="1"/>
  <c r="ED13" i="1"/>
  <c r="EQ13" i="1" s="1"/>
  <c r="Q10" i="51"/>
  <c r="CR13" i="1"/>
  <c r="DE13" i="1" s="1"/>
  <c r="Q25" i="51"/>
  <c r="ED28" i="1"/>
  <c r="EQ28" i="1" s="1"/>
  <c r="CE28" i="1"/>
  <c r="BT28" i="1" s="1"/>
  <c r="CR28" i="1"/>
  <c r="DE28" i="1" s="1"/>
  <c r="ED30" i="1"/>
  <c r="EQ30" i="1" s="1"/>
  <c r="ES30" i="1" s="1"/>
  <c r="BQ30" i="1" s="1"/>
  <c r="BR30" i="1" s="1"/>
  <c r="CE30" i="1"/>
  <c r="BT30" i="1" s="1"/>
  <c r="CR30" i="1"/>
  <c r="BK30" i="1" s="1"/>
  <c r="Q27" i="51"/>
  <c r="E27" i="51" s="1"/>
  <c r="CK26" i="1"/>
  <c r="CX26" i="1" s="1"/>
  <c r="J23" i="51"/>
  <c r="CJ17" i="1"/>
  <c r="I14" i="51"/>
  <c r="Q33" i="51"/>
  <c r="F33" i="51" s="1"/>
  <c r="CE36" i="1"/>
  <c r="BT36" i="1" s="1"/>
  <c r="ED36" i="1"/>
  <c r="EQ36" i="1" s="1"/>
  <c r="CR36" i="1"/>
  <c r="DE36" i="1" s="1"/>
  <c r="DG36" i="1" s="1"/>
  <c r="BO36" i="1" s="1"/>
  <c r="BP36" i="1" s="1"/>
  <c r="CL47" i="1"/>
  <c r="CY47" i="1" s="1"/>
  <c r="K44" i="51"/>
  <c r="J8" i="51"/>
  <c r="CK11" i="1"/>
  <c r="CX11" i="1" s="1"/>
  <c r="Q42" i="51"/>
  <c r="CE45" i="1"/>
  <c r="BT45" i="1" s="1"/>
  <c r="CR45" i="1"/>
  <c r="DE45" i="1" s="1"/>
  <c r="ED45" i="1"/>
  <c r="EQ45" i="1" s="1"/>
  <c r="I35" i="51"/>
  <c r="CJ38" i="1"/>
  <c r="I24" i="51"/>
  <c r="F24" i="51" s="1"/>
  <c r="CJ27" i="1"/>
  <c r="CR29" i="1"/>
  <c r="DE29" i="1" s="1"/>
  <c r="ED29" i="1"/>
  <c r="EQ29" i="1" s="1"/>
  <c r="Q26" i="51"/>
  <c r="E26" i="51" s="1"/>
  <c r="CE29" i="1"/>
  <c r="BT29" i="1" s="1"/>
  <c r="J36" i="51"/>
  <c r="CK39" i="1"/>
  <c r="CJ31" i="1"/>
  <c r="I28" i="51"/>
  <c r="F28" i="51" s="1"/>
  <c r="BM54" i="1"/>
  <c r="ES57" i="1"/>
  <c r="BQ57" i="1" s="1"/>
  <c r="BR57" i="1" s="1"/>
  <c r="CT55" i="1"/>
  <c r="CT42" i="1"/>
  <c r="ET42" i="1" s="1"/>
  <c r="CT69" i="1"/>
  <c r="CG73" i="1"/>
  <c r="CT80" i="1"/>
  <c r="CT78" i="1"/>
  <c r="ET78" i="1" s="1"/>
  <c r="CG74" i="1"/>
  <c r="CG64" i="1"/>
  <c r="CG71" i="1"/>
  <c r="CT66" i="1"/>
  <c r="ET66" i="1" s="1"/>
  <c r="BM14" i="1"/>
  <c r="E71" i="51"/>
  <c r="BM42" i="1"/>
  <c r="BN43" i="1"/>
  <c r="BK16" i="1"/>
  <c r="F11" i="51"/>
  <c r="BM52" i="1"/>
  <c r="BM43" i="1"/>
  <c r="E60" i="51"/>
  <c r="BM51" i="1"/>
  <c r="BN38" i="1"/>
  <c r="BN49" i="1"/>
  <c r="BN30" i="1"/>
  <c r="BM29" i="1"/>
  <c r="DG42" i="1"/>
  <c r="BO42" i="1" s="1"/>
  <c r="BP42" i="1" s="1"/>
  <c r="BL43" i="1"/>
  <c r="BN31" i="1"/>
  <c r="BN20" i="1"/>
  <c r="ES48" i="1"/>
  <c r="BQ48" i="1" s="1"/>
  <c r="BR48" i="1" s="1"/>
  <c r="BM12" i="1"/>
  <c r="E12" i="51"/>
  <c r="BN27" i="1"/>
  <c r="DX11" i="1"/>
  <c r="EK11" i="1" s="1"/>
  <c r="DW16" i="1"/>
  <c r="EJ16" i="1" s="1"/>
  <c r="ES16" i="1" s="1"/>
  <c r="BQ16" i="1" s="1"/>
  <c r="BR16" i="1" s="1"/>
  <c r="DX47" i="1"/>
  <c r="EK47" i="1" s="1"/>
  <c r="DV28" i="1"/>
  <c r="F88" i="55"/>
  <c r="H86" i="38"/>
  <c r="F88" i="38"/>
  <c r="F87" i="38"/>
  <c r="CK34" i="1"/>
  <c r="CX34" i="1" s="1"/>
  <c r="J31" i="51"/>
  <c r="CK48" i="1"/>
  <c r="CX48" i="1" s="1"/>
  <c r="J45" i="51"/>
  <c r="E45" i="51" s="1"/>
  <c r="EI22" i="1"/>
  <c r="ES22" i="1" s="1"/>
  <c r="BQ22" i="1" s="1"/>
  <c r="BR22" i="1" s="1"/>
  <c r="BN22" i="1"/>
  <c r="CK13" i="1"/>
  <c r="J10" i="51"/>
  <c r="DW13" i="1"/>
  <c r="DV46" i="1"/>
  <c r="I43" i="51"/>
  <c r="CJ46" i="1"/>
  <c r="I31" i="51"/>
  <c r="CJ34" i="1"/>
  <c r="K47" i="51"/>
  <c r="CL50" i="1"/>
  <c r="CL44" i="1"/>
  <c r="CY44" i="1" s="1"/>
  <c r="K41" i="51"/>
  <c r="J9" i="51"/>
  <c r="CK12" i="1"/>
  <c r="CX12" i="1" s="1"/>
  <c r="CJ60" i="1"/>
  <c r="I57" i="51"/>
  <c r="CJ11" i="1"/>
  <c r="I8" i="51"/>
  <c r="I44" i="51"/>
  <c r="DV47" i="1"/>
  <c r="CJ47" i="1"/>
  <c r="F86" i="55"/>
  <c r="H85" i="55"/>
  <c r="F85" i="55"/>
  <c r="H83" i="55"/>
  <c r="F84" i="55"/>
  <c r="H84" i="55"/>
  <c r="H87" i="55"/>
  <c r="H88" i="55"/>
  <c r="F83" i="55"/>
  <c r="F87" i="55"/>
  <c r="H86" i="55"/>
  <c r="I9" i="51"/>
  <c r="CJ12" i="1"/>
  <c r="ED40" i="1"/>
  <c r="EQ40" i="1" s="1"/>
  <c r="CR40" i="1"/>
  <c r="CG40" i="1" s="1"/>
  <c r="CE40" i="1"/>
  <c r="BT40" i="1" s="1"/>
  <c r="Q37" i="51"/>
  <c r="F37" i="51" s="1"/>
  <c r="CK54" i="1"/>
  <c r="CX54" i="1" s="1"/>
  <c r="J51" i="51"/>
  <c r="E51" i="51" s="1"/>
  <c r="CK24" i="1"/>
  <c r="J21" i="51"/>
  <c r="CJ18" i="1"/>
  <c r="I15" i="51"/>
  <c r="F86" i="40"/>
  <c r="F87" i="40"/>
  <c r="H85" i="40"/>
  <c r="F84" i="40"/>
  <c r="F85" i="40"/>
  <c r="H84" i="40"/>
  <c r="F83" i="40"/>
  <c r="H86" i="40"/>
  <c r="F88" i="40"/>
  <c r="H88" i="40"/>
  <c r="H83" i="40"/>
  <c r="H87" i="40"/>
  <c r="ED33" i="1"/>
  <c r="Q30" i="51"/>
  <c r="CE33" i="1"/>
  <c r="BT33" i="1" s="1"/>
  <c r="CR33" i="1"/>
  <c r="CG33" i="1" s="1"/>
  <c r="CJ26" i="1"/>
  <c r="CW26" i="1" s="1"/>
  <c r="I23" i="51"/>
  <c r="E23" i="51" s="1"/>
  <c r="CE41" i="1"/>
  <c r="BT41" i="1" s="1"/>
  <c r="ED41" i="1"/>
  <c r="EQ41" i="1" s="1"/>
  <c r="ES41" i="1" s="1"/>
  <c r="BQ41" i="1" s="1"/>
  <c r="BR41" i="1" s="1"/>
  <c r="Q38" i="51"/>
  <c r="CR41" i="1"/>
  <c r="DE41" i="1" s="1"/>
  <c r="CL52" i="1"/>
  <c r="K49" i="51"/>
  <c r="E49" i="51" s="1"/>
  <c r="ED58" i="1"/>
  <c r="EQ58" i="1" s="1"/>
  <c r="Q55" i="51"/>
  <c r="E55" i="51" s="1"/>
  <c r="CR58" i="1"/>
  <c r="DE58" i="1" s="1"/>
  <c r="CE58" i="1"/>
  <c r="BT58" i="1" s="1"/>
  <c r="CJ23" i="1"/>
  <c r="I20" i="51"/>
  <c r="DW19" i="1"/>
  <c r="CK19" i="1"/>
  <c r="BK19" i="1" s="1"/>
  <c r="J16" i="51"/>
  <c r="F16" i="51" s="1"/>
  <c r="CK41" i="1"/>
  <c r="J38" i="51"/>
  <c r="ED34" i="1"/>
  <c r="EQ34" i="1" s="1"/>
  <c r="CE34" i="1"/>
  <c r="BT34" i="1" s="1"/>
  <c r="Q31" i="51"/>
  <c r="CR34" i="1"/>
  <c r="DE34" i="1" s="1"/>
  <c r="BK15" i="1"/>
  <c r="DX19" i="1"/>
  <c r="EK19" i="1" s="1"/>
  <c r="L78" i="51"/>
  <c r="N78" i="51"/>
  <c r="CG61" i="1"/>
  <c r="CG75" i="1"/>
  <c r="CT43" i="1"/>
  <c r="BD43" i="1" s="1"/>
  <c r="CT51" i="1"/>
  <c r="CT26" i="1"/>
  <c r="BD26" i="1" s="1"/>
  <c r="CG79" i="1"/>
  <c r="CT67" i="1"/>
  <c r="ET67" i="1" s="1"/>
  <c r="CG70" i="1"/>
  <c r="CG16" i="1"/>
  <c r="BM21" i="1"/>
  <c r="BM40" i="1"/>
  <c r="CG72" i="1"/>
  <c r="BM24" i="1"/>
  <c r="BM22" i="1"/>
  <c r="BK49" i="1"/>
  <c r="BL30" i="1"/>
  <c r="CT65" i="1"/>
  <c r="BN42" i="1"/>
  <c r="BM20" i="1"/>
  <c r="BN48" i="1"/>
  <c r="BN52" i="1"/>
  <c r="CT72" i="1"/>
  <c r="BN21" i="1"/>
  <c r="BL33" i="1"/>
  <c r="BL42" i="1"/>
  <c r="BL40" i="1"/>
  <c r="BK51" i="1"/>
  <c r="BM17" i="1"/>
  <c r="BK55" i="1"/>
  <c r="BL36" i="1"/>
  <c r="ES15" i="1"/>
  <c r="BQ15" i="1" s="1"/>
  <c r="BR15" i="1" s="1"/>
  <c r="BM15" i="1"/>
  <c r="BM31" i="1"/>
  <c r="DV45" i="1"/>
  <c r="DV11" i="1"/>
  <c r="DV44" i="1"/>
  <c r="DX35" i="1"/>
  <c r="DX25" i="1"/>
  <c r="DX18" i="1"/>
  <c r="BN18" i="1" s="1"/>
  <c r="F61" i="51"/>
  <c r="DW46" i="1"/>
  <c r="EJ46" i="1" s="1"/>
  <c r="BN37" i="1"/>
  <c r="BM23" i="1"/>
  <c r="H85" i="38"/>
  <c r="F84" i="38"/>
  <c r="BL14" i="1"/>
  <c r="R78" i="51"/>
  <c r="BK32" i="1"/>
  <c r="BL48" i="1"/>
  <c r="DG14" i="1"/>
  <c r="BO14" i="1" s="1"/>
  <c r="BP14" i="1" s="1"/>
  <c r="BL32" i="1"/>
  <c r="BD49" i="1"/>
  <c r="EP36" i="1"/>
  <c r="ES36" i="1" s="1"/>
  <c r="BQ36" i="1" s="1"/>
  <c r="BR36" i="1" s="1"/>
  <c r="BN36" i="1"/>
  <c r="BM57" i="1"/>
  <c r="BN57" i="1"/>
  <c r="P78" i="51"/>
  <c r="BM36" i="1"/>
  <c r="EG53" i="1"/>
  <c r="ES53" i="1" s="1"/>
  <c r="BQ53" i="1" s="1"/>
  <c r="BR53" i="1" s="1"/>
  <c r="BN53" i="1"/>
  <c r="BM53" i="1"/>
  <c r="BL53" i="1"/>
  <c r="BK53" i="1"/>
  <c r="CU53" i="1"/>
  <c r="DG53" i="1" s="1"/>
  <c r="BO53" i="1" s="1"/>
  <c r="BP53" i="1" s="1"/>
  <c r="CV59" i="1"/>
  <c r="DG59" i="1" s="1"/>
  <c r="BO59" i="1" s="1"/>
  <c r="BP59" i="1" s="1"/>
  <c r="CT59" i="1"/>
  <c r="DD15" i="1"/>
  <c r="CT15" i="1"/>
  <c r="EP34" i="1"/>
  <c r="BN34" i="1"/>
  <c r="DG26" i="1"/>
  <c r="BO26" i="1" s="1"/>
  <c r="BP26" i="1" s="1"/>
  <c r="BD63" i="1"/>
  <c r="BG63" i="1" s="1"/>
  <c r="DG48" i="1"/>
  <c r="BO48" i="1" s="1"/>
  <c r="BP48" i="1" s="1"/>
  <c r="E11" i="51"/>
  <c r="ET14" i="1"/>
  <c r="CT48" i="1"/>
  <c r="ET48" i="1" s="1"/>
  <c r="CG53" i="1"/>
  <c r="BD77" i="1"/>
  <c r="BG77" i="1" s="1"/>
  <c r="CG48" i="1"/>
  <c r="H78" i="51"/>
  <c r="BL15" i="1"/>
  <c r="BK26" i="1"/>
  <c r="DG58" i="1"/>
  <c r="BO58" i="1" s="1"/>
  <c r="BP58" i="1" s="1"/>
  <c r="EP54" i="1"/>
  <c r="ES54" i="1" s="1"/>
  <c r="BQ54" i="1" s="1"/>
  <c r="BR54" i="1" s="1"/>
  <c r="BN54" i="1"/>
  <c r="EP58" i="1"/>
  <c r="ES58" i="1" s="1"/>
  <c r="BQ58" i="1" s="1"/>
  <c r="BR58" i="1" s="1"/>
  <c r="BN58" i="1"/>
  <c r="G78" i="51"/>
  <c r="CG32" i="1"/>
  <c r="CT53" i="1"/>
  <c r="ET53" i="1" s="1"/>
  <c r="F50" i="51"/>
  <c r="BK48" i="1"/>
  <c r="BK14" i="1"/>
  <c r="BL26" i="1"/>
  <c r="BD75" i="1"/>
  <c r="ET75" i="1"/>
  <c r="BD48" i="1"/>
  <c r="BJ49" i="1"/>
  <c r="BG49" i="1"/>
  <c r="ET61" i="1"/>
  <c r="ET43" i="1"/>
  <c r="BD62" i="1"/>
  <c r="ET62" i="1"/>
  <c r="BJ14" i="1"/>
  <c r="BG14" i="1"/>
  <c r="BD55" i="1"/>
  <c r="ET55" i="1"/>
  <c r="BD51" i="1"/>
  <c r="ET51" i="1"/>
  <c r="ET26" i="1"/>
  <c r="ET68" i="1"/>
  <c r="BD76" i="1"/>
  <c r="ET76" i="1"/>
  <c r="BD71" i="1"/>
  <c r="ET71" i="1"/>
  <c r="ET70" i="1"/>
  <c r="ET64" i="1"/>
  <c r="BD79" i="1"/>
  <c r="ET79" i="1"/>
  <c r="BD42" i="1"/>
  <c r="BD69" i="1"/>
  <c r="ET69" i="1"/>
  <c r="BD80" i="1"/>
  <c r="ET80" i="1"/>
  <c r="BD78" i="1"/>
  <c r="BD74" i="1"/>
  <c r="ET74" i="1"/>
  <c r="BD67" i="1"/>
  <c r="BD53" i="1" l="1"/>
  <c r="EH39" i="1"/>
  <c r="ES39" i="1" s="1"/>
  <c r="BQ39" i="1" s="1"/>
  <c r="BR39" i="1" s="1"/>
  <c r="BN39" i="1"/>
  <c r="BM39" i="1"/>
  <c r="CV20" i="1"/>
  <c r="DG20" i="1" s="1"/>
  <c r="BO20" i="1" s="1"/>
  <c r="BP20" i="1" s="1"/>
  <c r="BK20" i="1"/>
  <c r="CT20" i="1"/>
  <c r="BL20" i="1"/>
  <c r="CG20" i="1"/>
  <c r="BM58" i="1"/>
  <c r="BM48" i="1"/>
  <c r="F34" i="51"/>
  <c r="BJ77" i="1"/>
  <c r="E33" i="51"/>
  <c r="BN40" i="1"/>
  <c r="ES50" i="1"/>
  <c r="BQ50" i="1" s="1"/>
  <c r="BR50" i="1" s="1"/>
  <c r="BL58" i="1"/>
  <c r="BM30" i="1"/>
  <c r="CG26" i="1"/>
  <c r="F26" i="51"/>
  <c r="BN50" i="1"/>
  <c r="EK18" i="1"/>
  <c r="ES18" i="1" s="1"/>
  <c r="BQ18" i="1" s="1"/>
  <c r="BR18" i="1" s="1"/>
  <c r="BM18" i="1"/>
  <c r="EI11" i="1"/>
  <c r="ES11" i="1" s="1"/>
  <c r="BQ11" i="1" s="1"/>
  <c r="BR11" i="1" s="1"/>
  <c r="BN11" i="1"/>
  <c r="BM11" i="1"/>
  <c r="CX41" i="1"/>
  <c r="DG41" i="1" s="1"/>
  <c r="BO41" i="1" s="1"/>
  <c r="BP41" i="1" s="1"/>
  <c r="BK41" i="1"/>
  <c r="CG41" i="1"/>
  <c r="BL41" i="1"/>
  <c r="CT41" i="1"/>
  <c r="F20" i="51"/>
  <c r="E20" i="51"/>
  <c r="E30" i="51"/>
  <c r="F30" i="51"/>
  <c r="E21" i="51"/>
  <c r="F21" i="51"/>
  <c r="CW12" i="1"/>
  <c r="DG12" i="1" s="1"/>
  <c r="BO12" i="1" s="1"/>
  <c r="BP12" i="1" s="1"/>
  <c r="BL12" i="1"/>
  <c r="BK12" i="1"/>
  <c r="CG12" i="1"/>
  <c r="CT12" i="1"/>
  <c r="F8" i="51"/>
  <c r="E8" i="51"/>
  <c r="I78" i="51"/>
  <c r="CY50" i="1"/>
  <c r="DG50" i="1" s="1"/>
  <c r="BO50" i="1" s="1"/>
  <c r="BP50" i="1" s="1"/>
  <c r="BK50" i="1"/>
  <c r="BL50" i="1"/>
  <c r="CT50" i="1"/>
  <c r="CW46" i="1"/>
  <c r="DG46" i="1" s="1"/>
  <c r="BO46" i="1" s="1"/>
  <c r="BP46" i="1" s="1"/>
  <c r="CT46" i="1"/>
  <c r="CG46" i="1"/>
  <c r="BK46" i="1"/>
  <c r="BL46" i="1"/>
  <c r="F10" i="51"/>
  <c r="E10" i="51"/>
  <c r="EI28" i="1"/>
  <c r="ES28" i="1" s="1"/>
  <c r="BQ28" i="1" s="1"/>
  <c r="BR28" i="1" s="1"/>
  <c r="BN28" i="1"/>
  <c r="BM28" i="1"/>
  <c r="CW27" i="1"/>
  <c r="DG27" i="1" s="1"/>
  <c r="BO27" i="1" s="1"/>
  <c r="BP27" i="1" s="1"/>
  <c r="CT27" i="1"/>
  <c r="BK27" i="1"/>
  <c r="CG27" i="1"/>
  <c r="BL27" i="1"/>
  <c r="E14" i="51"/>
  <c r="F14" i="51"/>
  <c r="BD73" i="1"/>
  <c r="ET73" i="1"/>
  <c r="DE37" i="1"/>
  <c r="DG37" i="1" s="1"/>
  <c r="BO37" i="1" s="1"/>
  <c r="BP37" i="1" s="1"/>
  <c r="BL37" i="1"/>
  <c r="CT37" i="1"/>
  <c r="BK37" i="1"/>
  <c r="CG37" i="1"/>
  <c r="E25" i="51"/>
  <c r="F25" i="51"/>
  <c r="CY25" i="1"/>
  <c r="DG25" i="1" s="1"/>
  <c r="BO25" i="1" s="1"/>
  <c r="BP25" i="1" s="1"/>
  <c r="BL25" i="1"/>
  <c r="CG25" i="1"/>
  <c r="CT25" i="1"/>
  <c r="BK25" i="1"/>
  <c r="F18" i="51"/>
  <c r="E18" i="51"/>
  <c r="F54" i="51"/>
  <c r="E54" i="51"/>
  <c r="EJ56" i="1"/>
  <c r="ES56" i="1" s="1"/>
  <c r="BQ56" i="1" s="1"/>
  <c r="BR56" i="1" s="1"/>
  <c r="BM56" i="1"/>
  <c r="E29" i="51"/>
  <c r="F29" i="51"/>
  <c r="EI44" i="1"/>
  <c r="ES44" i="1" s="1"/>
  <c r="BQ44" i="1" s="1"/>
  <c r="BR44" i="1" s="1"/>
  <c r="BN44" i="1"/>
  <c r="BM44" i="1"/>
  <c r="BD65" i="1"/>
  <c r="ET65" i="1"/>
  <c r="F38" i="51"/>
  <c r="E38" i="51"/>
  <c r="EJ19" i="1"/>
  <c r="ES19" i="1" s="1"/>
  <c r="BQ19" i="1" s="1"/>
  <c r="BR19" i="1" s="1"/>
  <c r="BM19" i="1"/>
  <c r="BN19" i="1"/>
  <c r="CY52" i="1"/>
  <c r="DG52" i="1" s="1"/>
  <c r="BO52" i="1" s="1"/>
  <c r="BP52" i="1" s="1"/>
  <c r="BL52" i="1"/>
  <c r="CG52" i="1"/>
  <c r="BK52" i="1"/>
  <c r="CT52" i="1"/>
  <c r="CW18" i="1"/>
  <c r="DG18" i="1" s="1"/>
  <c r="BO18" i="1" s="1"/>
  <c r="BP18" i="1" s="1"/>
  <c r="BL18" i="1"/>
  <c r="CT18" i="1"/>
  <c r="CG18" i="1"/>
  <c r="BK18" i="1"/>
  <c r="F44" i="51"/>
  <c r="E44" i="51"/>
  <c r="CW60" i="1"/>
  <c r="DG60" i="1" s="1"/>
  <c r="BO60" i="1" s="1"/>
  <c r="BP60" i="1" s="1"/>
  <c r="BL60" i="1"/>
  <c r="CT60" i="1"/>
  <c r="CG60" i="1"/>
  <c r="BK60" i="1"/>
  <c r="EJ13" i="1"/>
  <c r="ES13" i="1" s="1"/>
  <c r="BQ13" i="1" s="1"/>
  <c r="BR13" i="1" s="1"/>
  <c r="BN13" i="1"/>
  <c r="BM13" i="1"/>
  <c r="F36" i="51"/>
  <c r="E36" i="51"/>
  <c r="E35" i="51"/>
  <c r="F35" i="51"/>
  <c r="CX22" i="1"/>
  <c r="DG22" i="1" s="1"/>
  <c r="BO22" i="1" s="1"/>
  <c r="BP22" i="1" s="1"/>
  <c r="BK22" i="1"/>
  <c r="CT22" i="1"/>
  <c r="CG22" i="1"/>
  <c r="BL22" i="1"/>
  <c r="EQ38" i="1"/>
  <c r="ES38" i="1" s="1"/>
  <c r="BQ38" i="1" s="1"/>
  <c r="BR38" i="1" s="1"/>
  <c r="BM38" i="1"/>
  <c r="CX16" i="1"/>
  <c r="DG16" i="1" s="1"/>
  <c r="BO16" i="1" s="1"/>
  <c r="BP16" i="1" s="1"/>
  <c r="CT16" i="1"/>
  <c r="BL16" i="1"/>
  <c r="CW45" i="1"/>
  <c r="DG45" i="1" s="1"/>
  <c r="BO45" i="1" s="1"/>
  <c r="BP45" i="1" s="1"/>
  <c r="CT45" i="1"/>
  <c r="BL45" i="1"/>
  <c r="BK45" i="1"/>
  <c r="CG45" i="1"/>
  <c r="F53" i="51"/>
  <c r="E53" i="51"/>
  <c r="EK29" i="1"/>
  <c r="ES29" i="1" s="1"/>
  <c r="BQ29" i="1" s="1"/>
  <c r="BR29" i="1" s="1"/>
  <c r="BN29" i="1"/>
  <c r="BN41" i="1"/>
  <c r="K78" i="51"/>
  <c r="F55" i="51"/>
  <c r="BK36" i="1"/>
  <c r="CT33" i="1"/>
  <c r="F19" i="51"/>
  <c r="F23" i="51"/>
  <c r="ES34" i="1"/>
  <c r="BQ34" i="1" s="1"/>
  <c r="BR34" i="1" s="1"/>
  <c r="CG59" i="1"/>
  <c r="BM37" i="1"/>
  <c r="CT36" i="1"/>
  <c r="E31" i="51"/>
  <c r="BM16" i="1"/>
  <c r="E37" i="51"/>
  <c r="BL59" i="1"/>
  <c r="BN16" i="1"/>
  <c r="BK58" i="1"/>
  <c r="CT40" i="1"/>
  <c r="F49" i="51"/>
  <c r="ES40" i="1"/>
  <c r="BQ40" i="1" s="1"/>
  <c r="BR40" i="1" s="1"/>
  <c r="F45" i="51"/>
  <c r="F27" i="51"/>
  <c r="BM50" i="1"/>
  <c r="F32" i="51"/>
  <c r="ES59" i="1"/>
  <c r="BQ59" i="1" s="1"/>
  <c r="BR59" i="1" s="1"/>
  <c r="EK35" i="1"/>
  <c r="ES35" i="1" s="1"/>
  <c r="BQ35" i="1" s="1"/>
  <c r="BR35" i="1" s="1"/>
  <c r="BM35" i="1"/>
  <c r="BN35" i="1"/>
  <c r="CX19" i="1"/>
  <c r="DG19" i="1" s="1"/>
  <c r="BO19" i="1" s="1"/>
  <c r="BP19" i="1" s="1"/>
  <c r="BL19" i="1"/>
  <c r="DE33" i="1"/>
  <c r="DG33" i="1" s="1"/>
  <c r="BO33" i="1" s="1"/>
  <c r="BP33" i="1" s="1"/>
  <c r="BK33" i="1"/>
  <c r="E15" i="51"/>
  <c r="F15" i="51"/>
  <c r="DE40" i="1"/>
  <c r="DG40" i="1" s="1"/>
  <c r="BO40" i="1" s="1"/>
  <c r="BP40" i="1" s="1"/>
  <c r="BK40" i="1"/>
  <c r="EI47" i="1"/>
  <c r="ES47" i="1" s="1"/>
  <c r="BQ47" i="1" s="1"/>
  <c r="BR47" i="1" s="1"/>
  <c r="BN47" i="1"/>
  <c r="BM47" i="1"/>
  <c r="E57" i="51"/>
  <c r="F57" i="51"/>
  <c r="CW34" i="1"/>
  <c r="DG34" i="1" s="1"/>
  <c r="BO34" i="1" s="1"/>
  <c r="BP34" i="1" s="1"/>
  <c r="CG34" i="1"/>
  <c r="BK34" i="1"/>
  <c r="CT34" i="1"/>
  <c r="BL34" i="1"/>
  <c r="EI46" i="1"/>
  <c r="ES46" i="1" s="1"/>
  <c r="BQ46" i="1" s="1"/>
  <c r="BR46" i="1" s="1"/>
  <c r="BN46" i="1"/>
  <c r="BM46" i="1"/>
  <c r="CX39" i="1"/>
  <c r="DG39" i="1" s="1"/>
  <c r="BO39" i="1" s="1"/>
  <c r="BP39" i="1" s="1"/>
  <c r="CT39" i="1"/>
  <c r="BL39" i="1"/>
  <c r="BK39" i="1"/>
  <c r="CG39" i="1"/>
  <c r="CW38" i="1"/>
  <c r="DG38" i="1" s="1"/>
  <c r="BO38" i="1" s="1"/>
  <c r="BP38" i="1" s="1"/>
  <c r="BL38" i="1"/>
  <c r="CT38" i="1"/>
  <c r="BK38" i="1"/>
  <c r="CG38" i="1"/>
  <c r="EI32" i="1"/>
  <c r="ES32" i="1" s="1"/>
  <c r="BQ32" i="1" s="1"/>
  <c r="BR32" i="1" s="1"/>
  <c r="BN32" i="1"/>
  <c r="BM32" i="1"/>
  <c r="CW54" i="1"/>
  <c r="DG54" i="1" s="1"/>
  <c r="BO54" i="1" s="1"/>
  <c r="BP54" i="1" s="1"/>
  <c r="BL54" i="1"/>
  <c r="CT54" i="1"/>
  <c r="CG54" i="1"/>
  <c r="BK54" i="1"/>
  <c r="CX15" i="1"/>
  <c r="DG15" i="1" s="1"/>
  <c r="BO15" i="1" s="1"/>
  <c r="BP15" i="1" s="1"/>
  <c r="CG15" i="1"/>
  <c r="F40" i="51"/>
  <c r="E40" i="51"/>
  <c r="CW44" i="1"/>
  <c r="DG44" i="1" s="1"/>
  <c r="BO44" i="1" s="1"/>
  <c r="BP44" i="1" s="1"/>
  <c r="CG44" i="1"/>
  <c r="BK44" i="1"/>
  <c r="BL44" i="1"/>
  <c r="CT44" i="1"/>
  <c r="E13" i="51"/>
  <c r="F13" i="51"/>
  <c r="E42" i="51"/>
  <c r="F42" i="51"/>
  <c r="CX56" i="1"/>
  <c r="DG56" i="1" s="1"/>
  <c r="BO56" i="1" s="1"/>
  <c r="BP56" i="1" s="1"/>
  <c r="BK56" i="1"/>
  <c r="CT56" i="1"/>
  <c r="CG56" i="1"/>
  <c r="BL56" i="1"/>
  <c r="EK25" i="1"/>
  <c r="ES25" i="1" s="1"/>
  <c r="BQ25" i="1" s="1"/>
  <c r="BR25" i="1" s="1"/>
  <c r="BM25" i="1"/>
  <c r="BN25" i="1"/>
  <c r="EI45" i="1"/>
  <c r="ES45" i="1" s="1"/>
  <c r="BQ45" i="1" s="1"/>
  <c r="BR45" i="1" s="1"/>
  <c r="BM45" i="1"/>
  <c r="BN45" i="1"/>
  <c r="BD72" i="1"/>
  <c r="ET72" i="1"/>
  <c r="CW23" i="1"/>
  <c r="DG23" i="1" s="1"/>
  <c r="BO23" i="1" s="1"/>
  <c r="BP23" i="1" s="1"/>
  <c r="BL23" i="1"/>
  <c r="CT23" i="1"/>
  <c r="BK23" i="1"/>
  <c r="CG23" i="1"/>
  <c r="EQ33" i="1"/>
  <c r="ES33" i="1" s="1"/>
  <c r="BQ33" i="1" s="1"/>
  <c r="BR33" i="1" s="1"/>
  <c r="BM33" i="1"/>
  <c r="BN33" i="1"/>
  <c r="CX24" i="1"/>
  <c r="DG24" i="1" s="1"/>
  <c r="BO24" i="1" s="1"/>
  <c r="BP24" i="1" s="1"/>
  <c r="BL24" i="1"/>
  <c r="CT24" i="1"/>
  <c r="CG24" i="1"/>
  <c r="BK24" i="1"/>
  <c r="F9" i="51"/>
  <c r="E9" i="51"/>
  <c r="CW47" i="1"/>
  <c r="DG47" i="1" s="1"/>
  <c r="BO47" i="1" s="1"/>
  <c r="BP47" i="1" s="1"/>
  <c r="CG47" i="1"/>
  <c r="BL47" i="1"/>
  <c r="CT47" i="1"/>
  <c r="BK47" i="1"/>
  <c r="CW11" i="1"/>
  <c r="DG11" i="1" s="1"/>
  <c r="BO11" i="1" s="1"/>
  <c r="BP11" i="1" s="1"/>
  <c r="BL11" i="1"/>
  <c r="CG11" i="1"/>
  <c r="BK11" i="1"/>
  <c r="CT11" i="1"/>
  <c r="F47" i="51"/>
  <c r="E47" i="51"/>
  <c r="F43" i="51"/>
  <c r="E43" i="51"/>
  <c r="CX13" i="1"/>
  <c r="DG13" i="1" s="1"/>
  <c r="BO13" i="1" s="1"/>
  <c r="BP13" i="1" s="1"/>
  <c r="BL13" i="1"/>
  <c r="CG13" i="1"/>
  <c r="BK13" i="1"/>
  <c r="CT13" i="1"/>
  <c r="CW31" i="1"/>
  <c r="DG31" i="1" s="1"/>
  <c r="BO31" i="1" s="1"/>
  <c r="BP31" i="1" s="1"/>
  <c r="BL31" i="1"/>
  <c r="BK31" i="1"/>
  <c r="CG31" i="1"/>
  <c r="CT31" i="1"/>
  <c r="CW17" i="1"/>
  <c r="DG17" i="1" s="1"/>
  <c r="BO17" i="1" s="1"/>
  <c r="BP17" i="1" s="1"/>
  <c r="BK17" i="1"/>
  <c r="BL17" i="1"/>
  <c r="CT17" i="1"/>
  <c r="CG17" i="1"/>
  <c r="DE30" i="1"/>
  <c r="DG30" i="1" s="1"/>
  <c r="BO30" i="1" s="1"/>
  <c r="BP30" i="1" s="1"/>
  <c r="CG30" i="1"/>
  <c r="CT30" i="1"/>
  <c r="E56" i="51"/>
  <c r="F56" i="51"/>
  <c r="CY35" i="1"/>
  <c r="DG35" i="1" s="1"/>
  <c r="BO35" i="1" s="1"/>
  <c r="BP35" i="1" s="1"/>
  <c r="CG35" i="1"/>
  <c r="BK35" i="1"/>
  <c r="CT35" i="1"/>
  <c r="BL35" i="1"/>
  <c r="CW28" i="1"/>
  <c r="DG28" i="1" s="1"/>
  <c r="BO28" i="1" s="1"/>
  <c r="BP28" i="1" s="1"/>
  <c r="CG28" i="1"/>
  <c r="BL28" i="1"/>
  <c r="BK28" i="1"/>
  <c r="CT28" i="1"/>
  <c r="CX43" i="1"/>
  <c r="DG43" i="1" s="1"/>
  <c r="BO43" i="1" s="1"/>
  <c r="BP43" i="1" s="1"/>
  <c r="BK43" i="1"/>
  <c r="E41" i="51"/>
  <c r="F41" i="51"/>
  <c r="CW21" i="1"/>
  <c r="DG21" i="1" s="1"/>
  <c r="BO21" i="1" s="1"/>
  <c r="BP21" i="1" s="1"/>
  <c r="BL21" i="1"/>
  <c r="CG21" i="1"/>
  <c r="CT21" i="1"/>
  <c r="BK21" i="1"/>
  <c r="CY57" i="1"/>
  <c r="DG57" i="1" s="1"/>
  <c r="BO57" i="1" s="1"/>
  <c r="BP57" i="1" s="1"/>
  <c r="CG57" i="1"/>
  <c r="BK57" i="1"/>
  <c r="BL57" i="1"/>
  <c r="CY29" i="1"/>
  <c r="DG29" i="1" s="1"/>
  <c r="BO29" i="1" s="1"/>
  <c r="BP29" i="1" s="1"/>
  <c r="BL29" i="1"/>
  <c r="CT29" i="1"/>
  <c r="BK29" i="1"/>
  <c r="CG29" i="1"/>
  <c r="CW32" i="1"/>
  <c r="DG32" i="1" s="1"/>
  <c r="BO32" i="1" s="1"/>
  <c r="BP32" i="1" s="1"/>
  <c r="CT32" i="1"/>
  <c r="CG19" i="1"/>
  <c r="E28" i="51"/>
  <c r="CT57" i="1"/>
  <c r="BM59" i="1"/>
  <c r="BM34" i="1"/>
  <c r="BK59" i="1"/>
  <c r="BD66" i="1"/>
  <c r="CG50" i="1"/>
  <c r="BM41" i="1"/>
  <c r="CG58" i="1"/>
  <c r="E16" i="51"/>
  <c r="BN56" i="1"/>
  <c r="CG36" i="1"/>
  <c r="J78" i="51"/>
  <c r="Q78" i="51"/>
  <c r="E24" i="51"/>
  <c r="CT19" i="1"/>
  <c r="CT58" i="1"/>
  <c r="F31" i="51"/>
  <c r="F51" i="51"/>
  <c r="BN59" i="1"/>
  <c r="ET15" i="1"/>
  <c r="BD15" i="1"/>
  <c r="BJ63" i="1"/>
  <c r="ET59" i="1"/>
  <c r="BD59" i="1"/>
  <c r="BJ53" i="1"/>
  <c r="BG53" i="1"/>
  <c r="BG80" i="1"/>
  <c r="BJ80" i="1"/>
  <c r="BG71" i="1"/>
  <c r="BJ71" i="1"/>
  <c r="BG76" i="1"/>
  <c r="BJ76" i="1"/>
  <c r="BJ68" i="1"/>
  <c r="BG68" i="1"/>
  <c r="BG43" i="1"/>
  <c r="BJ43" i="1"/>
  <c r="BJ61" i="1"/>
  <c r="BG61" i="1"/>
  <c r="BG75" i="1"/>
  <c r="BJ75" i="1"/>
  <c r="BJ67" i="1"/>
  <c r="BG67" i="1"/>
  <c r="BJ74" i="1"/>
  <c r="BG74" i="1"/>
  <c r="BG78" i="1"/>
  <c r="BJ78" i="1"/>
  <c r="BJ69" i="1"/>
  <c r="BG69" i="1"/>
  <c r="BJ42" i="1"/>
  <c r="BG42" i="1"/>
  <c r="BG79" i="1"/>
  <c r="BJ79" i="1"/>
  <c r="BG64" i="1"/>
  <c r="BJ64" i="1"/>
  <c r="BJ70" i="1"/>
  <c r="BG70" i="1"/>
  <c r="BJ26" i="1"/>
  <c r="BG26" i="1"/>
  <c r="BJ51" i="1"/>
  <c r="BG51" i="1"/>
  <c r="BJ55" i="1"/>
  <c r="BG55" i="1"/>
  <c r="BG62" i="1"/>
  <c r="BJ62" i="1"/>
  <c r="BG48" i="1"/>
  <c r="BJ48" i="1"/>
  <c r="ET20" i="1" l="1"/>
  <c r="BD20" i="1"/>
  <c r="BJ66" i="1"/>
  <c r="BG66" i="1"/>
  <c r="ET56" i="1"/>
  <c r="BD56" i="1"/>
  <c r="ET39" i="1"/>
  <c r="BD39" i="1"/>
  <c r="ET36" i="1"/>
  <c r="BD36" i="1"/>
  <c r="BD19" i="1"/>
  <c r="ET19" i="1"/>
  <c r="BD54" i="1"/>
  <c r="ET54" i="1"/>
  <c r="ET38" i="1"/>
  <c r="BD38" i="1"/>
  <c r="ET34" i="1"/>
  <c r="BD34" i="1"/>
  <c r="BD33" i="1"/>
  <c r="ET33" i="1"/>
  <c r="BD45" i="1"/>
  <c r="ET45" i="1"/>
  <c r="ET18" i="1"/>
  <c r="BD18" i="1"/>
  <c r="ET12" i="1"/>
  <c r="BD12" i="1"/>
  <c r="BD13" i="1"/>
  <c r="ET13" i="1"/>
  <c r="ET58" i="1"/>
  <c r="BD58" i="1"/>
  <c r="BD35" i="1"/>
  <c r="ET35" i="1"/>
  <c r="BD11" i="1"/>
  <c r="J86" i="1" s="1"/>
  <c r="ET11" i="1"/>
  <c r="BD40" i="1"/>
  <c r="ET40" i="1"/>
  <c r="BD16" i="1"/>
  <c r="ET16" i="1"/>
  <c r="BD52" i="1"/>
  <c r="ET52" i="1"/>
  <c r="BD25" i="1"/>
  <c r="ET25" i="1"/>
  <c r="ET37" i="1"/>
  <c r="BD37" i="1"/>
  <c r="BG73" i="1"/>
  <c r="BJ73" i="1"/>
  <c r="BD46" i="1"/>
  <c r="ET46" i="1"/>
  <c r="BD41" i="1"/>
  <c r="ET41" i="1"/>
  <c r="ET57" i="1"/>
  <c r="BD57" i="1"/>
  <c r="BG65" i="1"/>
  <c r="BJ65" i="1"/>
  <c r="ET32" i="1"/>
  <c r="BD32" i="1"/>
  <c r="ET29" i="1"/>
  <c r="BD29" i="1"/>
  <c r="BD21" i="1"/>
  <c r="ET21" i="1"/>
  <c r="ET28" i="1"/>
  <c r="BD28" i="1"/>
  <c r="ET30" i="1"/>
  <c r="BD30" i="1"/>
  <c r="ET17" i="1"/>
  <c r="BD17" i="1"/>
  <c r="ET31" i="1"/>
  <c r="BD31" i="1"/>
  <c r="ET47" i="1"/>
  <c r="BD47" i="1"/>
  <c r="ET24" i="1"/>
  <c r="BD24" i="1"/>
  <c r="ET23" i="1"/>
  <c r="BD23" i="1"/>
  <c r="BG72" i="1"/>
  <c r="BJ72" i="1"/>
  <c r="BD44" i="1"/>
  <c r="ET44" i="1"/>
  <c r="BD22" i="1"/>
  <c r="ET22" i="1"/>
  <c r="BD60" i="1"/>
  <c r="ET60" i="1"/>
  <c r="BD27" i="1"/>
  <c r="ET27" i="1"/>
  <c r="ET50" i="1"/>
  <c r="BD50" i="1"/>
  <c r="H99" i="1"/>
  <c r="J95" i="1"/>
  <c r="BJ59" i="1"/>
  <c r="BG59" i="1"/>
  <c r="BG15" i="1"/>
  <c r="BJ15" i="1"/>
  <c r="H87" i="1"/>
  <c r="H88" i="1" l="1"/>
  <c r="J89" i="1"/>
  <c r="BG20" i="1"/>
  <c r="BJ20" i="1"/>
  <c r="H98" i="1"/>
  <c r="J96" i="1"/>
  <c r="BJ40" i="1"/>
  <c r="BG40" i="1"/>
  <c r="BJ35" i="1"/>
  <c r="BG35" i="1"/>
  <c r="BJ13" i="1"/>
  <c r="BG13" i="1"/>
  <c r="BG33" i="1"/>
  <c r="BJ33" i="1"/>
  <c r="BJ19" i="1"/>
  <c r="BG19" i="1"/>
  <c r="BJ24" i="1"/>
  <c r="BG24" i="1"/>
  <c r="BJ31" i="1"/>
  <c r="BG31" i="1"/>
  <c r="BJ30" i="1"/>
  <c r="BG30" i="1"/>
  <c r="BJ32" i="1"/>
  <c r="BG32" i="1"/>
  <c r="BG57" i="1"/>
  <c r="BJ57" i="1"/>
  <c r="BJ38" i="1"/>
  <c r="BG38" i="1"/>
  <c r="BJ39" i="1"/>
  <c r="BG39" i="1"/>
  <c r="BG60" i="1"/>
  <c r="BJ60" i="1"/>
  <c r="BJ44" i="1"/>
  <c r="BG44" i="1"/>
  <c r="BJ41" i="1"/>
  <c r="BG41" i="1"/>
  <c r="BJ25" i="1"/>
  <c r="BG25" i="1"/>
  <c r="BG16" i="1"/>
  <c r="BJ16" i="1"/>
  <c r="J87" i="1"/>
  <c r="BJ11" i="1"/>
  <c r="BG11" i="1"/>
  <c r="BG45" i="1"/>
  <c r="BJ45" i="1"/>
  <c r="BG54" i="1"/>
  <c r="BJ54" i="1"/>
  <c r="J85" i="1"/>
  <c r="H97" i="1"/>
  <c r="H89" i="1"/>
  <c r="H86" i="1"/>
  <c r="J98" i="1"/>
  <c r="J99" i="1"/>
  <c r="H96" i="1"/>
  <c r="J90" i="1"/>
  <c r="H95" i="1"/>
  <c r="BJ27" i="1"/>
  <c r="BG27" i="1"/>
  <c r="BJ22" i="1"/>
  <c r="BG22" i="1"/>
  <c r="BG21" i="1"/>
  <c r="BJ21" i="1"/>
  <c r="BG46" i="1"/>
  <c r="BJ46" i="1"/>
  <c r="BG52" i="1"/>
  <c r="BJ52" i="1"/>
  <c r="BJ37" i="1"/>
  <c r="BG37" i="1"/>
  <c r="BJ18" i="1"/>
  <c r="BG18" i="1"/>
  <c r="BJ50" i="1"/>
  <c r="BG50" i="1"/>
  <c r="BG23" i="1"/>
  <c r="BJ23" i="1"/>
  <c r="BJ47" i="1"/>
  <c r="BG47" i="1"/>
  <c r="BJ17" i="1"/>
  <c r="BG17" i="1"/>
  <c r="BG28" i="1"/>
  <c r="BJ28" i="1"/>
  <c r="BJ29" i="1"/>
  <c r="BG29" i="1"/>
  <c r="BJ58" i="1"/>
  <c r="BG58" i="1"/>
  <c r="BG12" i="1"/>
  <c r="BJ12" i="1"/>
  <c r="BG34" i="1"/>
  <c r="BJ34" i="1"/>
  <c r="BG36" i="1"/>
  <c r="BJ36" i="1"/>
  <c r="BG56" i="1"/>
  <c r="BJ56" i="1"/>
  <c r="H85" i="1"/>
  <c r="H90" i="1"/>
  <c r="J94" i="1"/>
  <c r="J97" i="1"/>
  <c r="H94" i="1"/>
  <c r="J88" i="1"/>
</calcChain>
</file>

<file path=xl/sharedStrings.xml><?xml version="1.0" encoding="utf-8"?>
<sst xmlns="http://schemas.openxmlformats.org/spreadsheetml/2006/main" count="7151" uniqueCount="2710">
  <si>
    <t>13CĐ-Ô3</t>
  </si>
  <si>
    <t>Ô4</t>
  </si>
  <si>
    <t>13D2050019</t>
  </si>
  <si>
    <t>Hồ Chí</t>
  </si>
  <si>
    <t>13D2050024</t>
  </si>
  <si>
    <t>12.06.95</t>
  </si>
  <si>
    <t>13D2050267</t>
  </si>
  <si>
    <t xml:space="preserve">Nguyễn Thái </t>
  </si>
  <si>
    <t>13D2050029</t>
  </si>
  <si>
    <t>Phạm Hải</t>
  </si>
  <si>
    <t>13D2050033</t>
  </si>
  <si>
    <t>13D2050034</t>
  </si>
  <si>
    <t>13D2050039</t>
  </si>
  <si>
    <t>13D2050049</t>
  </si>
  <si>
    <t>Nguyễn Phúc</t>
  </si>
  <si>
    <t>13D2050054</t>
  </si>
  <si>
    <t>13D2050064</t>
  </si>
  <si>
    <t>Trương Khánh</t>
  </si>
  <si>
    <t>13D2050069</t>
  </si>
  <si>
    <t>La Xuân</t>
  </si>
  <si>
    <t>13D2050279</t>
  </si>
  <si>
    <t xml:space="preserve">Đỗ Minh </t>
  </si>
  <si>
    <t>13D2050074</t>
  </si>
  <si>
    <t>30.10.94</t>
  </si>
  <si>
    <t>13D2050084</t>
  </si>
  <si>
    <t>13D2050089</t>
  </si>
  <si>
    <t>Võ Ngọc Hoàng</t>
  </si>
  <si>
    <t>12D2050032</t>
  </si>
  <si>
    <t>Vũ Đức</t>
  </si>
  <si>
    <t>13D2050109</t>
  </si>
  <si>
    <t>Tăng Mộng</t>
  </si>
  <si>
    <t>20.09.92</t>
  </si>
  <si>
    <t>13D2050118</t>
  </si>
  <si>
    <t>13D2050299</t>
  </si>
  <si>
    <t>Đạo Đức</t>
  </si>
  <si>
    <t>26.04.93</t>
  </si>
  <si>
    <t>Ô4-DT.Chăm</t>
  </si>
  <si>
    <t>13D2050124</t>
  </si>
  <si>
    <t>13D2050281</t>
  </si>
  <si>
    <t>13D2050128</t>
  </si>
  <si>
    <t>Trần Văn Phương</t>
  </si>
  <si>
    <t>30.10.95</t>
  </si>
  <si>
    <t>13D2050139</t>
  </si>
  <si>
    <t>Nguyễn Mậu</t>
  </si>
  <si>
    <t>19.09.95</t>
  </si>
  <si>
    <t>13D2050144</t>
  </si>
  <si>
    <t>13D2050282</t>
  </si>
  <si>
    <t>13D2050154</t>
  </si>
  <si>
    <t>Pít</t>
  </si>
  <si>
    <t>19.06.93</t>
  </si>
  <si>
    <t>13D2050159</t>
  </si>
  <si>
    <t>13D2050164</t>
  </si>
  <si>
    <t>28.06.95</t>
  </si>
  <si>
    <t>13D2050169</t>
  </si>
  <si>
    <t>13D2050173</t>
  </si>
  <si>
    <t>Đỗ Minh</t>
  </si>
  <si>
    <t>13D2050178</t>
  </si>
  <si>
    <t>Lưu Công</t>
  </si>
  <si>
    <t>13D2050188</t>
  </si>
  <si>
    <t>Nguyễn Hoài</t>
  </si>
  <si>
    <t>13D2050189</t>
  </si>
  <si>
    <t>13D2050198</t>
  </si>
  <si>
    <t>13.06.95</t>
  </si>
  <si>
    <t>13D2050199</t>
  </si>
  <si>
    <t>13D2050209</t>
  </si>
  <si>
    <t>13D2050219</t>
  </si>
  <si>
    <t>13D2050224</t>
  </si>
  <si>
    <t>13D2050229</t>
  </si>
  <si>
    <t>13D2050273</t>
  </si>
  <si>
    <t>Phù Anh</t>
  </si>
  <si>
    <t>13D2050249</t>
  </si>
  <si>
    <t>13D2050254</t>
  </si>
  <si>
    <t>Huỳnh Lê</t>
  </si>
  <si>
    <t>13D2050257</t>
  </si>
  <si>
    <t>13D2050005</t>
  </si>
  <si>
    <t>13CĐ-Ô4</t>
  </si>
  <si>
    <t>13D2050298</t>
  </si>
  <si>
    <t>13D2050015</t>
  </si>
  <si>
    <t>16.12.95</t>
  </si>
  <si>
    <t>13D2050020</t>
  </si>
  <si>
    <t>13D2050305</t>
  </si>
  <si>
    <t>01.04.94</t>
  </si>
  <si>
    <t>13D2050025</t>
  </si>
  <si>
    <t>13D2050030</t>
  </si>
  <si>
    <t>Đỗ Quốc</t>
  </si>
  <si>
    <t>13D2050050</t>
  </si>
  <si>
    <t>Nguyễn Tịnh</t>
  </si>
  <si>
    <t>13D2050060</t>
  </si>
  <si>
    <t>02.11.93</t>
  </si>
  <si>
    <t>13D2050075</t>
  </si>
  <si>
    <t>Hợi</t>
  </si>
  <si>
    <t>10.06.95</t>
  </si>
  <si>
    <t>13D2050090</t>
  </si>
  <si>
    <t>Lê Tuấn</t>
  </si>
  <si>
    <t>13D2050095</t>
  </si>
  <si>
    <t>Bùi Vũ</t>
  </si>
  <si>
    <t>Khoan</t>
  </si>
  <si>
    <t>13D2050099</t>
  </si>
  <si>
    <t>13D2050123</t>
  </si>
  <si>
    <t>18.10.94</t>
  </si>
  <si>
    <t>13D2050125</t>
  </si>
  <si>
    <t>13D2050130</t>
  </si>
  <si>
    <t>13D2050135</t>
  </si>
  <si>
    <t>21.04.93</t>
  </si>
  <si>
    <t>13D2050138</t>
  </si>
  <si>
    <t>13D2050300</t>
  </si>
  <si>
    <t>13D2050140</t>
  </si>
  <si>
    <t>13D2050145</t>
  </si>
  <si>
    <t>13D2050153</t>
  </si>
  <si>
    <t>Nguyễn Vũ Tiến</t>
  </si>
  <si>
    <t>13D2050155</t>
  </si>
  <si>
    <t>13D2050158</t>
  </si>
  <si>
    <t>Đặng Anh</t>
  </si>
  <si>
    <t>Qui</t>
  </si>
  <si>
    <t>18.08.94</t>
  </si>
  <si>
    <t>13D2050163</t>
  </si>
  <si>
    <t>13D2050170</t>
  </si>
  <si>
    <t>03.09.93</t>
  </si>
  <si>
    <t>13D2050179</t>
  </si>
  <si>
    <t>Nguyễn Chiến</t>
  </si>
  <si>
    <t>13D2050180</t>
  </si>
  <si>
    <t>12.01.94</t>
  </si>
  <si>
    <t>13D2050185</t>
  </si>
  <si>
    <t>Lê Hoài</t>
  </si>
  <si>
    <t>06.07.95</t>
  </si>
  <si>
    <t>13D2050190</t>
  </si>
  <si>
    <t>03.03.94</t>
  </si>
  <si>
    <t>13D2050277</t>
  </si>
  <si>
    <t>10.10.93</t>
  </si>
  <si>
    <t>13D2050210</t>
  </si>
  <si>
    <t>Tiện</t>
  </si>
  <si>
    <t>13D2050213</t>
  </si>
  <si>
    <t>13D2050218</t>
  </si>
  <si>
    <t>Nguyễn Lê Phước</t>
  </si>
  <si>
    <t>13D2050220</t>
  </si>
  <si>
    <t>Phan Anh</t>
  </si>
  <si>
    <t>13D2050223</t>
  </si>
  <si>
    <t>Nguyễn Bảo</t>
  </si>
  <si>
    <t>16.09.94</t>
  </si>
  <si>
    <t>13D2050225</t>
  </si>
  <si>
    <t>14.12.94</t>
  </si>
  <si>
    <t>13D2050228</t>
  </si>
  <si>
    <t>03.11.95</t>
  </si>
  <si>
    <t>13D2050230</t>
  </si>
  <si>
    <t>14.09.94</t>
  </si>
  <si>
    <t>13D2050238</t>
  </si>
  <si>
    <t>10.03.93</t>
  </si>
  <si>
    <t>13D2050240</t>
  </si>
  <si>
    <t>Nguyễn Linh</t>
  </si>
  <si>
    <t>21.12.95</t>
  </si>
  <si>
    <t>Phạm Trường</t>
  </si>
  <si>
    <t>con TB 3/4</t>
  </si>
  <si>
    <t xml:space="preserve">Lê Thanh  </t>
  </si>
  <si>
    <t>Hưởng</t>
  </si>
  <si>
    <t>22.12.95</t>
  </si>
  <si>
    <t>Khanh</t>
  </si>
  <si>
    <t>Độc lập - Tự do - Hạnh phúc</t>
  </si>
  <si>
    <t>(7 đến cận 8)</t>
  </si>
  <si>
    <t>BẢNG ĐIỂM HỌC PHẦN THỰC HÀNH</t>
  </si>
  <si>
    <t>Điểm các bài thực hành</t>
  </si>
  <si>
    <t>BS1</t>
  </si>
  <si>
    <t>BS2</t>
  </si>
  <si>
    <t>BS3</t>
  </si>
  <si>
    <t>BS4</t>
  </si>
  <si>
    <t>BS5</t>
  </si>
  <si>
    <t>BS6</t>
  </si>
  <si>
    <t>BS7</t>
  </si>
  <si>
    <t>BS8</t>
  </si>
  <si>
    <t>BS9</t>
  </si>
  <si>
    <t>TH01</t>
  </si>
  <si>
    <t>(23)</t>
  </si>
  <si>
    <t>Nhơn</t>
  </si>
  <si>
    <t>con TB 4/4</t>
  </si>
  <si>
    <t>DT.Hoa</t>
  </si>
  <si>
    <t>DT.Chăm</t>
  </si>
  <si>
    <t>con TB 2/4</t>
  </si>
  <si>
    <t>BĐXN</t>
  </si>
  <si>
    <t>con BB 2/3</t>
  </si>
  <si>
    <t>Song</t>
  </si>
  <si>
    <t>05.04.94</t>
  </si>
  <si>
    <t>20.03.95</t>
  </si>
  <si>
    <t>Thi Chính</t>
  </si>
  <si>
    <t>Kỳ Thi Chính</t>
  </si>
  <si>
    <t>Thi Phụ</t>
  </si>
  <si>
    <t>Kỳ Thi Phụ</t>
  </si>
  <si>
    <t>HP Phụ</t>
  </si>
  <si>
    <t>HP Chính</t>
  </si>
  <si>
    <t>LỚP:</t>
  </si>
  <si>
    <t>MSSV</t>
  </si>
  <si>
    <t>Họ tên sinh viên</t>
  </si>
  <si>
    <t>TRƯỞNG KHOA</t>
  </si>
  <si>
    <t>Nguyễn Công</t>
  </si>
  <si>
    <t>Bằng</t>
  </si>
  <si>
    <t>Nguyễn Minh</t>
  </si>
  <si>
    <t>Cảnh</t>
  </si>
  <si>
    <t>Phạm Văn</t>
  </si>
  <si>
    <t>Chiến</t>
  </si>
  <si>
    <t>Cường</t>
  </si>
  <si>
    <t>Nguyễn Thanh</t>
  </si>
  <si>
    <t>Đông</t>
  </si>
  <si>
    <t>Giang</t>
  </si>
  <si>
    <t>Nguyễn Văn</t>
  </si>
  <si>
    <t>Hải</t>
  </si>
  <si>
    <t>Nguyễn Chí</t>
  </si>
  <si>
    <t>Hiển</t>
  </si>
  <si>
    <t>Hòa</t>
  </si>
  <si>
    <t>Trần Văn</t>
  </si>
  <si>
    <t>Khải</t>
  </si>
  <si>
    <t>Kiên</t>
  </si>
  <si>
    <t>Nguyễn Tấn</t>
  </si>
  <si>
    <t>Lộc</t>
  </si>
  <si>
    <t>Lực</t>
  </si>
  <si>
    <t>Trần Minh</t>
  </si>
  <si>
    <t>Nghĩa</t>
  </si>
  <si>
    <t>Ninh</t>
  </si>
  <si>
    <t>Phú</t>
  </si>
  <si>
    <t>Lê Đình</t>
  </si>
  <si>
    <t>Phương</t>
  </si>
  <si>
    <t>Quyền</t>
  </si>
  <si>
    <t>Sang</t>
  </si>
  <si>
    <t>Tài</t>
  </si>
  <si>
    <t>Tâm</t>
  </si>
  <si>
    <t>Lê Thanh</t>
  </si>
  <si>
    <t>Tân</t>
  </si>
  <si>
    <t>Nguyễn Quốc</t>
  </si>
  <si>
    <t>Thái</t>
  </si>
  <si>
    <t>Thông</t>
  </si>
  <si>
    <t>Huỳnh Ngọc</t>
  </si>
  <si>
    <t>Thuận</t>
  </si>
  <si>
    <t>Thủy</t>
  </si>
  <si>
    <t>Tiến</t>
  </si>
  <si>
    <t>Trí</t>
  </si>
  <si>
    <t>Lê Quang</t>
  </si>
  <si>
    <t>Tú</t>
  </si>
  <si>
    <t>Nguyễn Đình</t>
  </si>
  <si>
    <t>Tuấn</t>
  </si>
  <si>
    <t>Tùng</t>
  </si>
  <si>
    <t>Vũ</t>
  </si>
  <si>
    <t>ỦY BAN NHÂN DÂN THÀNH PHỐ HỒ CHÍ MINH</t>
  </si>
  <si>
    <t>SĨ SỐ:</t>
  </si>
  <si>
    <t>HỆ CHUẨN</t>
  </si>
  <si>
    <t>NGÀY NGHỈ</t>
  </si>
  <si>
    <t>P</t>
  </si>
  <si>
    <t>K</t>
  </si>
  <si>
    <t>Số thứ tự</t>
  </si>
  <si>
    <t>HỌC PHẦN</t>
  </si>
  <si>
    <t>TBC
HỌC TẬP</t>
  </si>
  <si>
    <t>KHEN THƯỞNG</t>
  </si>
  <si>
    <t>GHI CHÚ</t>
  </si>
  <si>
    <t xml:space="preserve"> CỘNG HÒA XÃ HỘI CHỦ NGHĨA VIỆT NAM </t>
  </si>
  <si>
    <t xml:space="preserve">Độc lập – Tự do – Hạnh phúc </t>
  </si>
  <si>
    <t>BẢNG ĐIỂM HỌC PHẦN LÝ THUYẾT</t>
  </si>
  <si>
    <t>HỌC PHẦN:</t>
  </si>
  <si>
    <t>HỌC KỲ:</t>
  </si>
  <si>
    <t>NĂM HỌC:</t>
  </si>
  <si>
    <t>TT</t>
  </si>
  <si>
    <t xml:space="preserve">    TRƯỞNG BỘ MÔN</t>
  </si>
  <si>
    <t>GIÁO VIÊN GIẢNG DẠY</t>
  </si>
  <si>
    <t>XL
lần
I</t>
  </si>
  <si>
    <t>Điểm
bảo
lưu</t>
  </si>
  <si>
    <t>Điểm
HP</t>
  </si>
  <si>
    <t>LBT1</t>
  </si>
  <si>
    <t>THL1</t>
  </si>
  <si>
    <t>LBT2</t>
  </si>
  <si>
    <t>THL2</t>
  </si>
  <si>
    <t>LBT3</t>
  </si>
  <si>
    <t>THL3</t>
  </si>
  <si>
    <t>GHP</t>
  </si>
  <si>
    <t>THI
CHÍNH</t>
  </si>
  <si>
    <t>THI
PHỤ</t>
  </si>
  <si>
    <t>Điểm
HP
phụ</t>
  </si>
  <si>
    <t>Số Tín chỉ:</t>
  </si>
  <si>
    <t>STT</t>
  </si>
  <si>
    <t>Họ</t>
  </si>
  <si>
    <t>Tên</t>
  </si>
  <si>
    <t>Ngày sinh</t>
  </si>
  <si>
    <t>Lớp</t>
  </si>
  <si>
    <t>Phái</t>
  </si>
  <si>
    <t>Hệ</t>
  </si>
  <si>
    <t>An</t>
  </si>
  <si>
    <t>19.01.95</t>
  </si>
  <si>
    <t>B</t>
  </si>
  <si>
    <t>Nguyễn Thành</t>
  </si>
  <si>
    <t>Nữ</t>
  </si>
  <si>
    <t>Bùi Thanh</t>
  </si>
  <si>
    <t>Diễn</t>
  </si>
  <si>
    <t>12.05.95</t>
  </si>
  <si>
    <t>Duy</t>
  </si>
  <si>
    <t>Nguyễn Hải</t>
  </si>
  <si>
    <t>Đăng</t>
  </si>
  <si>
    <t>19.05.95</t>
  </si>
  <si>
    <t>Đức</t>
  </si>
  <si>
    <t>20.05.95</t>
  </si>
  <si>
    <t>Huy</t>
  </si>
  <si>
    <t>25.04.95</t>
  </si>
  <si>
    <t>Khánh</t>
  </si>
  <si>
    <t>Khoa</t>
  </si>
  <si>
    <t>CỐ VẤN HỌC TẬP</t>
  </si>
  <si>
    <t>Số HP nợ</t>
  </si>
  <si>
    <t>Số lượng Sinh viên nợ theo học phần</t>
  </si>
  <si>
    <t>SS:</t>
  </si>
  <si>
    <t>(1)</t>
  </si>
  <si>
    <t>(2)</t>
  </si>
  <si>
    <t>(3)</t>
  </si>
  <si>
    <t>(4)</t>
  </si>
  <si>
    <t>(5)</t>
  </si>
  <si>
    <t>(6)</t>
  </si>
  <si>
    <t>(7)</t>
  </si>
  <si>
    <t>(8)</t>
  </si>
  <si>
    <t>(9)</t>
  </si>
  <si>
    <t>(10)</t>
  </si>
  <si>
    <t>(11)</t>
  </si>
  <si>
    <t>(12)</t>
  </si>
  <si>
    <t>(13)</t>
  </si>
  <si>
    <t>(14)</t>
  </si>
  <si>
    <t>(15)</t>
  </si>
  <si>
    <t>(16)</t>
  </si>
  <si>
    <t>(17)</t>
  </si>
  <si>
    <t>(18)</t>
  </si>
  <si>
    <t>(19)</t>
  </si>
  <si>
    <t>(20)</t>
  </si>
  <si>
    <t>(21)</t>
  </si>
  <si>
    <t>(22)</t>
  </si>
  <si>
    <t xml:space="preserve">Nguyễn Văn  </t>
  </si>
  <si>
    <t>Khương</t>
  </si>
  <si>
    <t xml:space="preserve"> </t>
  </si>
  <si>
    <t>Kiệt</t>
  </si>
  <si>
    <t>18.03.95</t>
  </si>
  <si>
    <t>Linh</t>
  </si>
  <si>
    <t>Luân</t>
  </si>
  <si>
    <t>LPHT</t>
  </si>
  <si>
    <t>Minh</t>
  </si>
  <si>
    <t>01.02.95</t>
  </si>
  <si>
    <t>Nam</t>
  </si>
  <si>
    <t>Nguyên</t>
  </si>
  <si>
    <t>Nhân</t>
  </si>
  <si>
    <t>LT</t>
  </si>
  <si>
    <t>Nhật</t>
  </si>
  <si>
    <t>12.01.95</t>
  </si>
  <si>
    <t>Pháp</t>
  </si>
  <si>
    <t>Phong</t>
  </si>
  <si>
    <t>Phúc</t>
  </si>
  <si>
    <t>Nguyễn Anh</t>
  </si>
  <si>
    <t>Phước</t>
  </si>
  <si>
    <t>Quốc</t>
  </si>
  <si>
    <t>11.01.95</t>
  </si>
  <si>
    <t>Nguyễn Đức</t>
  </si>
  <si>
    <t>Sơn</t>
  </si>
  <si>
    <t>05.04.95</t>
  </si>
  <si>
    <t>31.10.95</t>
  </si>
  <si>
    <t>Thắng</t>
  </si>
  <si>
    <t>Bùi Văn</t>
  </si>
  <si>
    <t>Thành</t>
  </si>
  <si>
    <t>08.09.93</t>
  </si>
  <si>
    <t>Toàn</t>
  </si>
  <si>
    <t>15.01.95</t>
  </si>
  <si>
    <t>Nguyễn Tiến</t>
  </si>
  <si>
    <t>Đỗ Thành</t>
  </si>
  <si>
    <t>Triệu</t>
  </si>
  <si>
    <t>Trường</t>
  </si>
  <si>
    <t>LPKL</t>
  </si>
  <si>
    <t>01.05.95</t>
  </si>
  <si>
    <t>Bình</t>
  </si>
  <si>
    <t>Dũng</t>
  </si>
  <si>
    <t>Đạt</t>
  </si>
  <si>
    <t>Nguyễn Trường</t>
  </si>
  <si>
    <t>Hiếu</t>
  </si>
  <si>
    <t>Nguyễn Ngọc</t>
  </si>
  <si>
    <t>17.04.95</t>
  </si>
  <si>
    <t>Hữu</t>
  </si>
  <si>
    <t>27.04.94</t>
  </si>
  <si>
    <t>Nguyễn Quang</t>
  </si>
  <si>
    <t>Trần Đăng</t>
  </si>
  <si>
    <t>Lâm</t>
  </si>
  <si>
    <t>10.02.95</t>
  </si>
  <si>
    <t>Lành</t>
  </si>
  <si>
    <t>Mỹ</t>
  </si>
  <si>
    <t>Phát</t>
  </si>
  <si>
    <t>20.02.95</t>
  </si>
  <si>
    <t>23.10.95</t>
  </si>
  <si>
    <t>Dương Văn</t>
  </si>
  <si>
    <t>09.03.95</t>
  </si>
  <si>
    <t>Hoàng Minh</t>
  </si>
  <si>
    <t>Quý</t>
  </si>
  <si>
    <t>Sáng</t>
  </si>
  <si>
    <t>05.12.95</t>
  </si>
  <si>
    <t>Nguyễn Thái</t>
  </si>
  <si>
    <t>07.07.95</t>
  </si>
  <si>
    <t>22.09.94</t>
  </si>
  <si>
    <t>12.04.95</t>
  </si>
  <si>
    <t>11.12.95</t>
  </si>
  <si>
    <t>Thịnh</t>
  </si>
  <si>
    <t>Huỳnh Văn</t>
  </si>
  <si>
    <t>08.08.95</t>
  </si>
  <si>
    <t>Tín</t>
  </si>
  <si>
    <t>Phạm Minh</t>
  </si>
  <si>
    <t>07.12.95</t>
  </si>
  <si>
    <t>Trình</t>
  </si>
  <si>
    <t>Tường</t>
  </si>
  <si>
    <t>20.12.95</t>
  </si>
  <si>
    <t>Vĩ</t>
  </si>
  <si>
    <t>09.04.95</t>
  </si>
  <si>
    <t>03.12.95</t>
  </si>
  <si>
    <t>Hào</t>
  </si>
  <si>
    <t>Hoàng</t>
  </si>
  <si>
    <t>12.10.95</t>
  </si>
  <si>
    <t>Hùng</t>
  </si>
  <si>
    <t>21.10.95</t>
  </si>
  <si>
    <t>14.04.95</t>
  </si>
  <si>
    <t>Khang</t>
  </si>
  <si>
    <t>01.01.94</t>
  </si>
  <si>
    <t>Nguyễn Viết</t>
  </si>
  <si>
    <t>10.07.95</t>
  </si>
  <si>
    <t>Nhựt</t>
  </si>
  <si>
    <t>03.08.95</t>
  </si>
  <si>
    <t>Nguyễn Duy</t>
  </si>
  <si>
    <t>Ngô Văn</t>
  </si>
  <si>
    <t>Thảo</t>
  </si>
  <si>
    <t>Tiên</t>
  </si>
  <si>
    <t>Tới</t>
  </si>
  <si>
    <t>Trung</t>
  </si>
  <si>
    <t>Trần Ngọc</t>
  </si>
  <si>
    <t>Ty</t>
  </si>
  <si>
    <t>13.05.95</t>
  </si>
  <si>
    <t>06.08.95</t>
  </si>
  <si>
    <t>Bảo</t>
  </si>
  <si>
    <t>22.03.95</t>
  </si>
  <si>
    <t>Bửu</t>
  </si>
  <si>
    <t>10.10.95</t>
  </si>
  <si>
    <t>Lê Hoàng</t>
  </si>
  <si>
    <t>26.04.95</t>
  </si>
  <si>
    <t>Võ Văn</t>
  </si>
  <si>
    <t>Đại</t>
  </si>
  <si>
    <t>Nguyễn Hồng</t>
  </si>
  <si>
    <t>03.02.95</t>
  </si>
  <si>
    <t>Hậu</t>
  </si>
  <si>
    <t>Hiền</t>
  </si>
  <si>
    <t>01.07.95</t>
  </si>
  <si>
    <t>Hoài</t>
  </si>
  <si>
    <t>Phạm Ngọc</t>
  </si>
  <si>
    <t>03.04.95</t>
  </si>
  <si>
    <t>Hưng</t>
  </si>
  <si>
    <t>Phạm Thanh</t>
  </si>
  <si>
    <t>Nguyễn Hoàng</t>
  </si>
  <si>
    <t>16.12.94</t>
  </si>
  <si>
    <t>Võ Duy</t>
  </si>
  <si>
    <t>Thanh</t>
  </si>
  <si>
    <t>Trần Quốc</t>
  </si>
  <si>
    <t>Nguyễn Xuân</t>
  </si>
  <si>
    <t>15.09.95</t>
  </si>
  <si>
    <t>12.07.95</t>
  </si>
  <si>
    <t>28.02.95</t>
  </si>
  <si>
    <t>Lê Minh</t>
  </si>
  <si>
    <t>24.04.95</t>
  </si>
  <si>
    <t>Lợi</t>
  </si>
  <si>
    <t>Lượng</t>
  </si>
  <si>
    <t>Bảng tính thao tác</t>
  </si>
  <si>
    <t>Công việc thực hiện</t>
  </si>
  <si>
    <t>Ghi chú: Danh sách SV, tên các HP và số đơn vị học trình sẽ được truyền tự động vào cho các bảng tính của HKI và bảng điểm từng HP</t>
  </si>
  <si>
    <r>
      <t xml:space="preserve">Kích vào ô đầu tiên của mã số sinh viên (ô </t>
    </r>
    <r>
      <rPr>
        <b/>
        <sz val="13"/>
        <rFont val="Arial"/>
        <family val="2"/>
      </rPr>
      <t>B11</t>
    </r>
    <r>
      <rPr>
        <sz val="13"/>
        <rFont val="Arial"/>
        <family val="2"/>
      </rPr>
      <t>), nhấn Ctrl-V.</t>
    </r>
  </si>
  <si>
    <r>
      <t xml:space="preserve">Nhập hệ chuẩn vào cột </t>
    </r>
    <r>
      <rPr>
        <b/>
        <sz val="13"/>
        <rFont val="Arial"/>
        <family val="2"/>
      </rPr>
      <t xml:space="preserve">E, </t>
    </r>
    <r>
      <rPr>
        <sz val="13"/>
        <rFont val="Arial"/>
        <family val="2"/>
      </rPr>
      <t xml:space="preserve">số ngày nghỉ có phép vào cột </t>
    </r>
    <r>
      <rPr>
        <b/>
        <sz val="13"/>
        <rFont val="Arial"/>
        <family val="2"/>
      </rPr>
      <t>F</t>
    </r>
    <r>
      <rPr>
        <sz val="13"/>
        <rFont val="Arial"/>
        <family val="2"/>
      </rPr>
      <t xml:space="preserve">, số ngày không phép vào cột </t>
    </r>
    <r>
      <rPr>
        <b/>
        <sz val="13"/>
        <rFont val="Arial"/>
        <family val="2"/>
      </rPr>
      <t>G</t>
    </r>
    <r>
      <rPr>
        <sz val="13"/>
        <rFont val="Arial"/>
        <family val="2"/>
      </rPr>
      <t>.</t>
    </r>
  </si>
  <si>
    <t>ĐIỂM HỌC PHẦN CHÍNH</t>
  </si>
  <si>
    <t>Nguyễn Hữu</t>
  </si>
  <si>
    <t>05.01.95</t>
  </si>
  <si>
    <t>23.09.95</t>
  </si>
  <si>
    <t>03.09.95</t>
  </si>
  <si>
    <t>01.01.95</t>
  </si>
  <si>
    <t>Nguyễn Việt</t>
  </si>
  <si>
    <t>Thiện</t>
  </si>
  <si>
    <t>17.08.95</t>
  </si>
  <si>
    <t>Phan Văn</t>
  </si>
  <si>
    <t>Trọng</t>
  </si>
  <si>
    <t>20.10.94</t>
  </si>
  <si>
    <t>Vinh</t>
  </si>
  <si>
    <t>Lê Văn</t>
  </si>
  <si>
    <t>29.09.95</t>
  </si>
  <si>
    <t>06.06.95</t>
  </si>
  <si>
    <t>22.07.95</t>
  </si>
  <si>
    <t>Dương</t>
  </si>
  <si>
    <t>Hà</t>
  </si>
  <si>
    <t>Hảo</t>
  </si>
  <si>
    <t>20.04.95</t>
  </si>
  <si>
    <t>Nguyễn</t>
  </si>
  <si>
    <t>27.01.95</t>
  </si>
  <si>
    <t>Trần Anh</t>
  </si>
  <si>
    <t>18.01.95</t>
  </si>
  <si>
    <t>A</t>
  </si>
  <si>
    <t xml:space="preserve">Nguyễn Trung  </t>
  </si>
  <si>
    <t>Tấn</t>
  </si>
  <si>
    <t>13 CĐ - ĐT 
1, 2</t>
  </si>
  <si>
    <t>13 CĐ - Đ 
1, 2, 3</t>
  </si>
  <si>
    <t>13 CĐ-TP
1, 2</t>
  </si>
  <si>
    <t>12D2040011</t>
  </si>
  <si>
    <t>Đinh Thị Ngọc</t>
  </si>
  <si>
    <t>14.05.92</t>
  </si>
  <si>
    <t>13D2050243</t>
  </si>
  <si>
    <t>13D2050303</t>
  </si>
  <si>
    <t>06.05.94</t>
  </si>
  <si>
    <t>13D2050248</t>
  </si>
  <si>
    <t>13D2050250</t>
  </si>
  <si>
    <t>13D2050253</t>
  </si>
  <si>
    <t>13D2050255</t>
  </si>
  <si>
    <t>Lý Quốc</t>
  </si>
  <si>
    <t>17.03.94</t>
  </si>
  <si>
    <t>13D2050258</t>
  </si>
  <si>
    <t>Đỗ Hoàng Minh</t>
  </si>
  <si>
    <t>27.11.95</t>
  </si>
  <si>
    <t>13D2050260</t>
  </si>
  <si>
    <t>08.11.94</t>
  </si>
  <si>
    <t>11D0030051</t>
  </si>
  <si>
    <t>13.01.93</t>
  </si>
  <si>
    <t>13D2040001</t>
  </si>
  <si>
    <t>Trương Thị Thúy</t>
  </si>
  <si>
    <t>13CĐ-M</t>
  </si>
  <si>
    <t>13D2040002</t>
  </si>
  <si>
    <t>Nguyễn Thị Ngọc</t>
  </si>
  <si>
    <t>Ái</t>
  </si>
  <si>
    <t>13D2040003</t>
  </si>
  <si>
    <t>Phạm Thị Minh</t>
  </si>
  <si>
    <t>13D2040004</t>
  </si>
  <si>
    <t>13D2040064</t>
  </si>
  <si>
    <t>Lương Tâm</t>
  </si>
  <si>
    <t>03.04.91</t>
  </si>
  <si>
    <t>13D2040059</t>
  </si>
  <si>
    <t>Nguyễn Thị Hương</t>
  </si>
  <si>
    <t>13D2040007</t>
  </si>
  <si>
    <t>Lê Nguyễn Kim</t>
  </si>
  <si>
    <t>Giao</t>
  </si>
  <si>
    <t>13D2040008</t>
  </si>
  <si>
    <t>Nguyễn Thị Xuân</t>
  </si>
  <si>
    <t>Hạ</t>
  </si>
  <si>
    <t>13D2040057</t>
  </si>
  <si>
    <t>04.12.95</t>
  </si>
  <si>
    <t>13D2040010</t>
  </si>
  <si>
    <t>Bạch Thị Thúy</t>
  </si>
  <si>
    <t>22.01.95</t>
  </si>
  <si>
    <t>13D2040011</t>
  </si>
  <si>
    <t>Bùi Thị Kim</t>
  </si>
  <si>
    <t>03.05.95</t>
  </si>
  <si>
    <t>13D2040012</t>
  </si>
  <si>
    <t>Võ Thị Ngọc</t>
  </si>
  <si>
    <t>13D2040013</t>
  </si>
  <si>
    <t>Nguyễn Thị Quỳnh</t>
  </si>
  <si>
    <t>13D2040014</t>
  </si>
  <si>
    <t>Hợp</t>
  </si>
  <si>
    <t>13D2040015</t>
  </si>
  <si>
    <t>Trương Thị Cẩm</t>
  </si>
  <si>
    <t>30.12.95</t>
  </si>
  <si>
    <t>13D2040017</t>
  </si>
  <si>
    <t>Phạm Hoàng Mộng</t>
  </si>
  <si>
    <t>13D2040060</t>
  </si>
  <si>
    <t>Cao Thị Mỹ</t>
  </si>
  <si>
    <t>Lệ</t>
  </si>
  <si>
    <t>13D2040061</t>
  </si>
  <si>
    <t>Lê Hà</t>
  </si>
  <si>
    <t>13D2040020</t>
  </si>
  <si>
    <t>Nguyễn Thị Thanh</t>
  </si>
  <si>
    <t>Loan</t>
  </si>
  <si>
    <t>13D2040021</t>
  </si>
  <si>
    <t>16.01.94</t>
  </si>
  <si>
    <t>13D2040022</t>
  </si>
  <si>
    <t>Hà Kim</t>
  </si>
  <si>
    <t>18.09.95</t>
  </si>
  <si>
    <t>13D2040023</t>
  </si>
  <si>
    <t>Huỳnh Mỹ</t>
  </si>
  <si>
    <t>Múa</t>
  </si>
  <si>
    <t>19.04.90</t>
  </si>
  <si>
    <t>13D2040024</t>
  </si>
  <si>
    <t>Nguyễn Thị Hoài</t>
  </si>
  <si>
    <t>13D2040025</t>
  </si>
  <si>
    <t>Phan Thị Mỹ</t>
  </si>
  <si>
    <t>Nga</t>
  </si>
  <si>
    <t>13D2040027</t>
  </si>
  <si>
    <t>Phan Thị Ánh</t>
  </si>
  <si>
    <t>21.05.95</t>
  </si>
  <si>
    <t>13D2040066</t>
  </si>
  <si>
    <t>Nguyễn Đình Hồng</t>
  </si>
  <si>
    <t>13D2040028</t>
  </si>
  <si>
    <t>Hồ Thị Yến</t>
  </si>
  <si>
    <t>13D2040065</t>
  </si>
  <si>
    <t xml:space="preserve">Mai Thị Huỳnh </t>
  </si>
  <si>
    <t>Như</t>
  </si>
  <si>
    <t>13D2040030</t>
  </si>
  <si>
    <t xml:space="preserve">Lê Thị </t>
  </si>
  <si>
    <t>Nhung</t>
  </si>
  <si>
    <t>13D2040031</t>
  </si>
  <si>
    <t>Nguyễn Thị Hồng</t>
  </si>
  <si>
    <t>13D2040033</t>
  </si>
  <si>
    <t>Cao Thị Ngọc</t>
  </si>
  <si>
    <t>13D2040034</t>
  </si>
  <si>
    <t>Phượng</t>
  </si>
  <si>
    <t>13D2040009</t>
  </si>
  <si>
    <t>13D2040035</t>
  </si>
  <si>
    <t>Lê Hoàng Trúc</t>
  </si>
  <si>
    <t>04.09.94</t>
  </si>
  <si>
    <t>13D2040037</t>
  </si>
  <si>
    <t>Trần Đăng Bích</t>
  </si>
  <si>
    <t>13D2040038</t>
  </si>
  <si>
    <t>Nguyễn Thị Phương</t>
  </si>
  <si>
    <t>24.10.95</t>
  </si>
  <si>
    <t>13D2040039</t>
  </si>
  <si>
    <t>13D2040040</t>
  </si>
  <si>
    <t>Phan Thị Hồng</t>
  </si>
  <si>
    <t>13D2040041</t>
  </si>
  <si>
    <t>Vương Hào</t>
  </si>
  <si>
    <t>18.11.94</t>
  </si>
  <si>
    <t>13D2040042</t>
  </si>
  <si>
    <t>Lê Thị Mai</t>
  </si>
  <si>
    <t>13D2040043</t>
  </si>
  <si>
    <t>Trần Thị Lệ</t>
  </si>
  <si>
    <t>13D2040044</t>
  </si>
  <si>
    <t>13D2040045</t>
  </si>
  <si>
    <t>Đào Thị Thanh</t>
  </si>
  <si>
    <t>Thùy</t>
  </si>
  <si>
    <t>13D2040046</t>
  </si>
  <si>
    <t>Lưu Thị Thủy</t>
  </si>
  <si>
    <t>13D2040047</t>
  </si>
  <si>
    <t>Lý Mỹ</t>
  </si>
  <si>
    <t>Trâm</t>
  </si>
  <si>
    <t>13D2040049</t>
  </si>
  <si>
    <t>Trân</t>
  </si>
  <si>
    <t>13D2040050</t>
  </si>
  <si>
    <t>Lý Ngọc</t>
  </si>
  <si>
    <t>18.12.95</t>
  </si>
  <si>
    <t>13D2040051</t>
  </si>
  <si>
    <t>Tạ Thị Tuyết</t>
  </si>
  <si>
    <t>13D2040063</t>
  </si>
  <si>
    <t>Trần Thị Ngọc</t>
  </si>
  <si>
    <t>13D2040018</t>
  </si>
  <si>
    <t>13D2040053</t>
  </si>
  <si>
    <t>Vũ Hoàn Phương</t>
  </si>
  <si>
    <t>Uyên</t>
  </si>
  <si>
    <t>13D2040054</t>
  </si>
  <si>
    <t>13D2040055</t>
  </si>
  <si>
    <t>Phan Thị Hà</t>
  </si>
  <si>
    <t>Vi</t>
  </si>
  <si>
    <t>13D2040056</t>
  </si>
  <si>
    <t>Huỳnh Thị Thanh</t>
  </si>
  <si>
    <t>13D2040067</t>
  </si>
  <si>
    <t>Lê Thị Như</t>
  </si>
  <si>
    <t>13D201P003</t>
  </si>
  <si>
    <t>Nguyễn Hữu Tuân</t>
  </si>
  <si>
    <t>22.08.94</t>
  </si>
  <si>
    <t>13CĐ-TP1</t>
  </si>
  <si>
    <t>13D201P005</t>
  </si>
  <si>
    <t>TP3</t>
  </si>
  <si>
    <t>13D201P008</t>
  </si>
  <si>
    <t>13D201P110</t>
  </si>
  <si>
    <t>TP3-LPKL</t>
  </si>
  <si>
    <t>13D201P012</t>
  </si>
  <si>
    <t>KPKL</t>
  </si>
  <si>
    <t>13D201P016</t>
  </si>
  <si>
    <t>Đào Mạnh</t>
  </si>
  <si>
    <t>13D201P017</t>
  </si>
  <si>
    <t>Lê Anh</t>
  </si>
  <si>
    <t>13D201P072</t>
  </si>
  <si>
    <t>Lê Sỹ</t>
  </si>
  <si>
    <t>13D201P019</t>
  </si>
  <si>
    <t>Nguyễn Huy</t>
  </si>
  <si>
    <t>13D201P021</t>
  </si>
  <si>
    <t>Lâm Vũ Trường</t>
  </si>
  <si>
    <t>17.11.95</t>
  </si>
  <si>
    <t>13D201P023</t>
  </si>
  <si>
    <t>Võ Minh</t>
  </si>
  <si>
    <t>13D201P025</t>
  </si>
  <si>
    <t>Đặng Thị</t>
  </si>
  <si>
    <t>19.04.94</t>
  </si>
  <si>
    <t>13D201P027</t>
  </si>
  <si>
    <t>13D201P029</t>
  </si>
  <si>
    <t>11.10.95</t>
  </si>
  <si>
    <t>13D201P060</t>
  </si>
  <si>
    <t>Sâm Lý</t>
  </si>
  <si>
    <t>17.09.95</t>
  </si>
  <si>
    <t>13D201P031</t>
  </si>
  <si>
    <t>13D201P033</t>
  </si>
  <si>
    <t>Trần Văn Duy</t>
  </si>
  <si>
    <t>24.11.95</t>
  </si>
  <si>
    <t>13D201P035</t>
  </si>
  <si>
    <t>Viên Phan Anh</t>
  </si>
  <si>
    <t>13D201P037</t>
  </si>
  <si>
    <t>La Luân</t>
  </si>
  <si>
    <t>31.12.95</t>
  </si>
  <si>
    <t>13D201P041</t>
  </si>
  <si>
    <t>Lưu Vũ</t>
  </si>
  <si>
    <t>13D201P042</t>
  </si>
  <si>
    <t>Võ Thị Mỹ</t>
  </si>
  <si>
    <t>Lan</t>
  </si>
  <si>
    <t>13D201P045</t>
  </si>
  <si>
    <t>Phan Ngọc Bảo</t>
  </si>
  <si>
    <t>13D201P108</t>
  </si>
  <si>
    <t>25.04.94</t>
  </si>
  <si>
    <t>13D201P049</t>
  </si>
  <si>
    <t>13D201P057</t>
  </si>
  <si>
    <t>Huỳnh Ngọc Hoàng</t>
  </si>
  <si>
    <t>11.12.94</t>
  </si>
  <si>
    <t>13D201P059</t>
  </si>
  <si>
    <t>13D201P061</t>
  </si>
  <si>
    <t>Bùi Thế</t>
  </si>
  <si>
    <t>31.05.92</t>
  </si>
  <si>
    <t>13D201P063</t>
  </si>
  <si>
    <t>Trương Minh</t>
  </si>
  <si>
    <t>13D201P065</t>
  </si>
  <si>
    <t>Nguyễn Vũ</t>
  </si>
  <si>
    <t>01.11.94</t>
  </si>
  <si>
    <t>13D201P067</t>
  </si>
  <si>
    <t>Trần Xuân</t>
  </si>
  <si>
    <t>13D201P109</t>
  </si>
  <si>
    <t>13D201P075</t>
  </si>
  <si>
    <t>13D201P077</t>
  </si>
  <si>
    <t>Hồ Nguyễn Thanh</t>
  </si>
  <si>
    <t>06.02.95</t>
  </si>
  <si>
    <t>13D201P083</t>
  </si>
  <si>
    <t>01.06.94</t>
  </si>
  <si>
    <t>13D201P086</t>
  </si>
  <si>
    <t>13D201P090</t>
  </si>
  <si>
    <t>13D201P095</t>
  </si>
  <si>
    <t>13D201P101</t>
  </si>
  <si>
    <t>Út</t>
  </si>
  <si>
    <t>07.06.93</t>
  </si>
  <si>
    <t>13D201P103</t>
  </si>
  <si>
    <t>Huỳnh Phong</t>
  </si>
  <si>
    <t>13D201P105</t>
  </si>
  <si>
    <t>Đặng Thị Kim</t>
  </si>
  <si>
    <t>Xuyên</t>
  </si>
  <si>
    <t>13D201P009</t>
  </si>
  <si>
    <t>Nguyễn Thanh Chí</t>
  </si>
  <si>
    <t>13CĐ-TP2</t>
  </si>
  <si>
    <t>13D201P127</t>
  </si>
  <si>
    <t>13D201P018</t>
  </si>
  <si>
    <t>13D201P020</t>
  </si>
  <si>
    <t>Tăng Lập</t>
  </si>
  <si>
    <t>16.10.95</t>
  </si>
  <si>
    <t>13D201P026</t>
  </si>
  <si>
    <t>Cao Trí</t>
  </si>
  <si>
    <t>13D201P028</t>
  </si>
  <si>
    <t>13D201P030</t>
  </si>
  <si>
    <t>13D201P050</t>
  </si>
  <si>
    <t>Isanauy</t>
  </si>
  <si>
    <t>13D201P032</t>
  </si>
  <si>
    <t>Phạm Điền</t>
  </si>
  <si>
    <t>01.08.94</t>
  </si>
  <si>
    <t>13D201P034</t>
  </si>
  <si>
    <t>13D201P038</t>
  </si>
  <si>
    <t>Trần Đình Anh</t>
  </si>
  <si>
    <t>13D201P040</t>
  </si>
  <si>
    <t>Ký</t>
  </si>
  <si>
    <t>13D201P117</t>
  </si>
  <si>
    <t xml:space="preserve">Lại Xuân </t>
  </si>
  <si>
    <t>06.03.93</t>
  </si>
  <si>
    <t>13D201P118</t>
  </si>
  <si>
    <t>Trần Bửu</t>
  </si>
  <si>
    <t>13D201P044</t>
  </si>
  <si>
    <t>13D201P048</t>
  </si>
  <si>
    <t>03.04.90</t>
  </si>
  <si>
    <t>13D201P052</t>
  </si>
  <si>
    <t>Lê Phát</t>
  </si>
  <si>
    <t>17.12.92</t>
  </si>
  <si>
    <t>13D201P053</t>
  </si>
  <si>
    <t>21.09.93</t>
  </si>
  <si>
    <t>13D201P055</t>
  </si>
  <si>
    <t>Phan Minh</t>
  </si>
  <si>
    <t>13D201P056</t>
  </si>
  <si>
    <t>Dương Thanh</t>
  </si>
  <si>
    <t>18.05.94</t>
  </si>
  <si>
    <t>13D201P070</t>
  </si>
  <si>
    <t>13D201P078</t>
  </si>
  <si>
    <t>13D201P114</t>
  </si>
  <si>
    <t>13D201P123</t>
  </si>
  <si>
    <t>08.04.94</t>
  </si>
  <si>
    <t>13D201P080</t>
  </si>
  <si>
    <t>13D201P107</t>
  </si>
  <si>
    <t>Nguyễn Kim</t>
  </si>
  <si>
    <t>13D201P087</t>
  </si>
  <si>
    <t>13D201P089</t>
  </si>
  <si>
    <t>13D201P102</t>
  </si>
  <si>
    <t>13D201P121</t>
  </si>
  <si>
    <t>Hoàng Quốc</t>
  </si>
  <si>
    <t>13D201P104</t>
  </si>
  <si>
    <t>Huỳnh Thị Minh</t>
  </si>
  <si>
    <t>Vy</t>
  </si>
  <si>
    <t>13D201P106</t>
  </si>
  <si>
    <t>Nguyễn Huỳnh Như</t>
  </si>
  <si>
    <t>12D201P005</t>
  </si>
  <si>
    <t>20.09.94</t>
  </si>
  <si>
    <t>13D201M095</t>
  </si>
  <si>
    <t>Trần Long</t>
  </si>
  <si>
    <t>13CĐ-TM1</t>
  </si>
  <si>
    <t>13D201M001</t>
  </si>
  <si>
    <t>Huỳnh Lâm Thế</t>
  </si>
  <si>
    <t>25.12.94</t>
  </si>
  <si>
    <t>13D201M004</t>
  </si>
  <si>
    <t xml:space="preserve">Châu Thị </t>
  </si>
  <si>
    <t>Bé</t>
  </si>
  <si>
    <t>13D201M005</t>
  </si>
  <si>
    <t>13D201M087</t>
  </si>
  <si>
    <t>Diệp</t>
  </si>
  <si>
    <t>13D201M009</t>
  </si>
  <si>
    <t>Khương Công Thái</t>
  </si>
  <si>
    <t>25.08.94</t>
  </si>
  <si>
    <t>13D201M013</t>
  </si>
  <si>
    <t>Trương Quốc</t>
  </si>
  <si>
    <t>Mẹ DT.Hoa</t>
  </si>
  <si>
    <t>13D201M017</t>
  </si>
  <si>
    <t>13D201M086</t>
  </si>
  <si>
    <t>Huỳnh Thị Hồng</t>
  </si>
  <si>
    <t>13D201M081</t>
  </si>
  <si>
    <t>Hồ Gia</t>
  </si>
  <si>
    <t>13D201M025</t>
  </si>
  <si>
    <t>13D201M027</t>
  </si>
  <si>
    <t>28.03.95</t>
  </si>
  <si>
    <t>13D201M029</t>
  </si>
  <si>
    <t>Lai</t>
  </si>
  <si>
    <t>13D201M031</t>
  </si>
  <si>
    <t>Hoàng Ngọc</t>
  </si>
  <si>
    <t>13D201M033</t>
  </si>
  <si>
    <t>Đinh Hoàng Phi</t>
  </si>
  <si>
    <t>14.11.95</t>
  </si>
  <si>
    <t>13D201M094</t>
  </si>
  <si>
    <t>13D201M035</t>
  </si>
  <si>
    <t>13D201M099</t>
  </si>
  <si>
    <t>28.04.95</t>
  </si>
  <si>
    <t>13D201M039</t>
  </si>
  <si>
    <t>Bùi Thành</t>
  </si>
  <si>
    <t>13D201M041</t>
  </si>
  <si>
    <t>Nguyễn Hiếu</t>
  </si>
  <si>
    <t>13D201M043</t>
  </si>
  <si>
    <t>Nguyễn Thị Kim</t>
  </si>
  <si>
    <t>Nhạn</t>
  </si>
  <si>
    <t>18.01.94</t>
  </si>
  <si>
    <t>13D201M088</t>
  </si>
  <si>
    <t>Trần Mãnh</t>
  </si>
  <si>
    <t>13D201M045</t>
  </si>
  <si>
    <t>13D201M047</t>
  </si>
  <si>
    <t>13D201M051</t>
  </si>
  <si>
    <t>20.01.95</t>
  </si>
  <si>
    <t>13D201M057</t>
  </si>
  <si>
    <t>13D201M109</t>
  </si>
  <si>
    <t>Thận</t>
  </si>
  <si>
    <t>13D201M059</t>
  </si>
  <si>
    <t>Phồng Phú</t>
  </si>
  <si>
    <t>13D201M065</t>
  </si>
  <si>
    <t>Phan Nguyễn Anh</t>
  </si>
  <si>
    <t>13D201M067</t>
  </si>
  <si>
    <t>Ngô Minh</t>
  </si>
  <si>
    <t>13D201M071</t>
  </si>
  <si>
    <t>Lường Văn</t>
  </si>
  <si>
    <t>20.06.93</t>
  </si>
  <si>
    <t>13D201M084</t>
  </si>
  <si>
    <t>Phạm Gia Đức</t>
  </si>
  <si>
    <t>13D201M073</t>
  </si>
  <si>
    <t>Lê Nguyễn Anh</t>
  </si>
  <si>
    <t>13D201M075</t>
  </si>
  <si>
    <t>11.10.93</t>
  </si>
  <si>
    <t>13D201M077</t>
  </si>
  <si>
    <t>13D201M079</t>
  </si>
  <si>
    <t>Mai Lê Thanh</t>
  </si>
  <si>
    <t>12D201M074</t>
  </si>
  <si>
    <t>Huỳnh Bảo</t>
  </si>
  <si>
    <t>13D201M010</t>
  </si>
  <si>
    <t>Ngô Thành</t>
  </si>
  <si>
    <t>13CĐ-TM2</t>
  </si>
  <si>
    <t>13D201M011</t>
  </si>
  <si>
    <t>13D201M012</t>
  </si>
  <si>
    <t>Trần Mẫn</t>
  </si>
  <si>
    <t>13D201M016</t>
  </si>
  <si>
    <t>Ngô Hiền</t>
  </si>
  <si>
    <t>13D201M018</t>
  </si>
  <si>
    <t>Huỳnh Trường</t>
  </si>
  <si>
    <t>19.04.95</t>
  </si>
  <si>
    <t>13D201M020</t>
  </si>
  <si>
    <t>13D201M056</t>
  </si>
  <si>
    <t>Lý Hữu</t>
  </si>
  <si>
    <t>10.07.92</t>
  </si>
  <si>
    <t>13D201M022</t>
  </si>
  <si>
    <t>13D201M024</t>
  </si>
  <si>
    <t>Nguyễn Văn Mạnh</t>
  </si>
  <si>
    <t>13D201M028</t>
  </si>
  <si>
    <t>Hồ Hoàn</t>
  </si>
  <si>
    <t>26.07.94</t>
  </si>
  <si>
    <t>13D201M030</t>
  </si>
  <si>
    <t>Lâm Đức</t>
  </si>
  <si>
    <t>Lễ</t>
  </si>
  <si>
    <t>13D201M032</t>
  </si>
  <si>
    <t>Kiều Tấn</t>
  </si>
  <si>
    <t>13D201M105</t>
  </si>
  <si>
    <t>Huỳnh Thị</t>
  </si>
  <si>
    <t>Lùy</t>
  </si>
  <si>
    <t>24.01.95</t>
  </si>
  <si>
    <t>13D201M036</t>
  </si>
  <si>
    <t>13D201M091</t>
  </si>
  <si>
    <t>13D201M038</t>
  </si>
  <si>
    <t>Ôn Nhật</t>
  </si>
  <si>
    <t>13D201M040</t>
  </si>
  <si>
    <t>11.12.93</t>
  </si>
  <si>
    <t>13D201M042</t>
  </si>
  <si>
    <t>04.05.93</t>
  </si>
  <si>
    <t>13D201M093</t>
  </si>
  <si>
    <t>02.02.95</t>
  </si>
  <si>
    <t>13D201M044</t>
  </si>
  <si>
    <t>13D201M046</t>
  </si>
  <si>
    <t xml:space="preserve">Nguyễn Đoàn Thanh </t>
  </si>
  <si>
    <t>13D201M048</t>
  </si>
  <si>
    <t>Lê Huy</t>
  </si>
  <si>
    <t>13D201M050</t>
  </si>
  <si>
    <t>13D201M083</t>
  </si>
  <si>
    <t>Mai Thanh</t>
  </si>
  <si>
    <t>13D201M054</t>
  </si>
  <si>
    <t>13D201M082</t>
  </si>
  <si>
    <t>04.07.94</t>
  </si>
  <si>
    <t>13D201M058</t>
  </si>
  <si>
    <t>13D201M060</t>
  </si>
  <si>
    <t>13D201M062</t>
  </si>
  <si>
    <t>13D201M064</t>
  </si>
  <si>
    <t>Lê Trường</t>
  </si>
  <si>
    <t>13D201M068</t>
  </si>
  <si>
    <t>13D201M102</t>
  </si>
  <si>
    <t>To</t>
  </si>
  <si>
    <t>13D201M090</t>
  </si>
  <si>
    <t>Đỗ Khánh</t>
  </si>
  <si>
    <t>13D201M103</t>
  </si>
  <si>
    <t>Lê Phú</t>
  </si>
  <si>
    <t>13D201M072</t>
  </si>
  <si>
    <t>Lê Thị Cẩm</t>
  </si>
  <si>
    <t>13D201M074</t>
  </si>
  <si>
    <t>29.04.95</t>
  </si>
  <si>
    <t>13D201M078</t>
  </si>
  <si>
    <t>By</t>
  </si>
  <si>
    <t>Ưn</t>
  </si>
  <si>
    <t>05.11.91</t>
  </si>
  <si>
    <t>DT.Trai</t>
  </si>
  <si>
    <t>13D201M106</t>
  </si>
  <si>
    <t>Trương Huỳnh</t>
  </si>
  <si>
    <t>Xương</t>
  </si>
  <si>
    <t>TC13CĐĐT1</t>
  </si>
  <si>
    <t>TC13CĐĐT2</t>
  </si>
  <si>
    <t>TC13CĐĐ1</t>
  </si>
  <si>
    <t>TC13CĐĐ2</t>
  </si>
  <si>
    <t>TC13CĐĐ3</t>
  </si>
  <si>
    <t>TC13CĐCK1</t>
  </si>
  <si>
    <t>TC13CĐCK2</t>
  </si>
  <si>
    <t>TC13CĐCK3</t>
  </si>
  <si>
    <t>TC13CĐCK4</t>
  </si>
  <si>
    <t>TC13CĐCK5</t>
  </si>
  <si>
    <t>TC13CĐÔ1</t>
  </si>
  <si>
    <t>TC13CĐÔ2</t>
  </si>
  <si>
    <t>TC13CĐÔ3</t>
  </si>
  <si>
    <t>TC13CĐÔ4</t>
  </si>
  <si>
    <t>TC13CĐNL1</t>
  </si>
  <si>
    <t>TC13CĐNL2</t>
  </si>
  <si>
    <t>TC13CĐM</t>
  </si>
  <si>
    <t>TC13CĐTP1</t>
  </si>
  <si>
    <t>TC13CĐTP2</t>
  </si>
  <si>
    <t>TC13CĐTM1</t>
  </si>
  <si>
    <t>TC13CĐTM2</t>
  </si>
  <si>
    <t>TH03</t>
  </si>
  <si>
    <t>ĐT3</t>
  </si>
  <si>
    <t>ĐT3-con TB 4/4</t>
  </si>
  <si>
    <t>ĐT3-DT.Hoa</t>
  </si>
  <si>
    <t>ĐT4</t>
  </si>
  <si>
    <t>12D3010025</t>
  </si>
  <si>
    <t xml:space="preserve">Lê Sĩ  </t>
  </si>
  <si>
    <t>Đ4</t>
  </si>
  <si>
    <t>Đ4-con BB 3/3</t>
  </si>
  <si>
    <t>Đ4-TNH.12CĐ-Đ3</t>
  </si>
  <si>
    <t>12D2010093</t>
  </si>
  <si>
    <t>Lữ</t>
  </si>
  <si>
    <t>10.05.94</t>
  </si>
  <si>
    <t>12D2010145</t>
  </si>
  <si>
    <t>Lương Quốc</t>
  </si>
  <si>
    <t>Nghị</t>
  </si>
  <si>
    <t>02.06.95</t>
  </si>
  <si>
    <t>(4 đến cận 5,5)</t>
  </si>
  <si>
    <t>(&lt; 4)</t>
  </si>
  <si>
    <t>Thạch</t>
  </si>
  <si>
    <t>01.03.95</t>
  </si>
  <si>
    <t>27.02.95</t>
  </si>
  <si>
    <t>12.08.95</t>
  </si>
  <si>
    <t>06.11.95</t>
  </si>
  <si>
    <t>18.10.95</t>
  </si>
  <si>
    <t>Tình</t>
  </si>
  <si>
    <t>04.06.95</t>
  </si>
  <si>
    <t>27.10.95</t>
  </si>
  <si>
    <t>16.06.95</t>
  </si>
  <si>
    <t>27.07.95</t>
  </si>
  <si>
    <t>Vui</t>
  </si>
  <si>
    <t>Anh</t>
  </si>
  <si>
    <t>Nguyễn Trọng</t>
  </si>
  <si>
    <t>05.08.94</t>
  </si>
  <si>
    <t>01.10.95</t>
  </si>
  <si>
    <t>Long</t>
  </si>
  <si>
    <t>Huỳnh Hữu</t>
  </si>
  <si>
    <t>19.07.95</t>
  </si>
  <si>
    <t>10.04.94</t>
  </si>
  <si>
    <t>Quang</t>
  </si>
  <si>
    <t>Nguyễn Nhật</t>
  </si>
  <si>
    <t>12.02.95</t>
  </si>
  <si>
    <t>20.06.95</t>
  </si>
  <si>
    <t>14.09.95</t>
  </si>
  <si>
    <t>Số tín chỉ</t>
  </si>
  <si>
    <t>BẢNG THỐNG KÊ NỢ HỌC PHẦN KỲ THI CHÍNH</t>
  </si>
  <si>
    <t>(5,5 đến cận 7)</t>
  </si>
  <si>
    <t>XẾP LOẠI
HỌC TẬP</t>
  </si>
  <si>
    <t>Lặp lại bước 4 cho các học phần còn lại</t>
  </si>
  <si>
    <t>25.08.95</t>
  </si>
  <si>
    <t>SỐ TC ĐÃ TÍCH LUỸ
SAU KỲ THI CHÍNH</t>
  </si>
  <si>
    <t>SỐ TC NỢ
SAU KỲ THI CHÍNH</t>
  </si>
  <si>
    <t>SỐ TC ĐÃ TÍCH LUỸ
SAU KỲ THI PHỤ</t>
  </si>
  <si>
    <t>SỐ TC NỢ
SAU KỲ THI PHỤ</t>
  </si>
  <si>
    <t>ĐIỂM TBC TÍCH LUỸ
SAU KỲ THI CHÍNH</t>
  </si>
  <si>
    <t>HẠNG HỌC LỰC
SAU KỲ THI CHÍNH</t>
  </si>
  <si>
    <t>ĐIỂM TBC TÍCH LUỸ
SAU KỲ THI PHỤ</t>
  </si>
  <si>
    <t>HẠNG HỌC LỰC
SAU KỲ THI PHỤ</t>
  </si>
  <si>
    <t>(30)</t>
  </si>
  <si>
    <t>(31)</t>
  </si>
  <si>
    <t>19.11.95</t>
  </si>
  <si>
    <t>Võ Xuân</t>
  </si>
  <si>
    <t>17.06.95</t>
  </si>
  <si>
    <t>Ý</t>
  </si>
  <si>
    <t>Đỗ Huỳnh</t>
  </si>
  <si>
    <t>Vũ Văn</t>
  </si>
  <si>
    <t>Phạm Công</t>
  </si>
  <si>
    <t>20.08.95</t>
  </si>
  <si>
    <t>Hiệp</t>
  </si>
  <si>
    <t>Hóa</t>
  </si>
  <si>
    <t>Trần Huy</t>
  </si>
  <si>
    <t>Huân</t>
  </si>
  <si>
    <t>25.11.95</t>
  </si>
  <si>
    <t>08.03.95</t>
  </si>
  <si>
    <t>03.06.94</t>
  </si>
  <si>
    <t>Vỹ</t>
  </si>
  <si>
    <t>10.10.94</t>
  </si>
  <si>
    <t>Phạm Quốc</t>
  </si>
  <si>
    <t>Danh</t>
  </si>
  <si>
    <t>10.12.95</t>
  </si>
  <si>
    <t>29.03.94</t>
  </si>
  <si>
    <t>Nhàn</t>
  </si>
  <si>
    <t>Phi</t>
  </si>
  <si>
    <t>Quyên</t>
  </si>
  <si>
    <t>Thương</t>
  </si>
  <si>
    <t>04.05.94</t>
  </si>
  <si>
    <t>Việt</t>
  </si>
  <si>
    <t>Diệu</t>
  </si>
  <si>
    <t>29.07.95</t>
  </si>
  <si>
    <t>Hương</t>
  </si>
  <si>
    <t>24.12.95</t>
  </si>
  <si>
    <t>Kiều</t>
  </si>
  <si>
    <t>Phan Trọng</t>
  </si>
  <si>
    <t>Quân</t>
  </si>
  <si>
    <t>22.06.95</t>
  </si>
  <si>
    <t>Hồ</t>
  </si>
  <si>
    <t>Trương Văn</t>
  </si>
  <si>
    <t>Ẩn</t>
  </si>
  <si>
    <t>13CĐ-CK1</t>
  </si>
  <si>
    <t>Nguyễn Trương</t>
  </si>
  <si>
    <t>Vũ Minh</t>
  </si>
  <si>
    <t>30.03.95</t>
  </si>
  <si>
    <t>15.10.95</t>
  </si>
  <si>
    <t>Khôi</t>
  </si>
  <si>
    <t>Kỵ</t>
  </si>
  <si>
    <t>Mai Tấn</t>
  </si>
  <si>
    <t>03.10.95</t>
  </si>
  <si>
    <t>Lý</t>
  </si>
  <si>
    <t>Nguyễn Cao</t>
  </si>
  <si>
    <t>Năm</t>
  </si>
  <si>
    <t>Tô Trọng</t>
  </si>
  <si>
    <t>Võ Thanh</t>
  </si>
  <si>
    <t>01.06.95</t>
  </si>
  <si>
    <t>23.07.95</t>
  </si>
  <si>
    <t>19.08.95</t>
  </si>
  <si>
    <t>Hoàng Nhật</t>
  </si>
  <si>
    <t>02.11.95</t>
  </si>
  <si>
    <t>Dương Hải</t>
  </si>
  <si>
    <t>Nguyễn Phùng</t>
  </si>
  <si>
    <t>Trần Văn Minh</t>
  </si>
  <si>
    <t>15.12.95</t>
  </si>
  <si>
    <t>Trao</t>
  </si>
  <si>
    <t>Đỗ Thượng</t>
  </si>
  <si>
    <t>26.11.94</t>
  </si>
  <si>
    <t>Đặng Quốc</t>
  </si>
  <si>
    <t>Lê Ngọc Vũ</t>
  </si>
  <si>
    <t>Võ Trần Nhật</t>
  </si>
  <si>
    <t>24.08.95</t>
  </si>
  <si>
    <t>28.05.95</t>
  </si>
  <si>
    <t>Lê Thái</t>
  </si>
  <si>
    <t>Trần Thanh</t>
  </si>
  <si>
    <t>Quí</t>
  </si>
  <si>
    <t>Thư</t>
  </si>
  <si>
    <t>31.03.95</t>
  </si>
  <si>
    <t>Lê Nhật</t>
  </si>
  <si>
    <t>14.08.95</t>
  </si>
  <si>
    <t>Ân</t>
  </si>
  <si>
    <t>28.07.95</t>
  </si>
  <si>
    <t>Chánh</t>
  </si>
  <si>
    <t>Công</t>
  </si>
  <si>
    <t>Hoan</t>
  </si>
  <si>
    <t>Kha</t>
  </si>
  <si>
    <t>Đỗ Hoàng</t>
  </si>
  <si>
    <t>Quy</t>
  </si>
  <si>
    <t>21.03.95</t>
  </si>
  <si>
    <t>Thọ</t>
  </si>
  <si>
    <t>Truyền</t>
  </si>
  <si>
    <r>
      <t>QUI ĐỊNH SỐ TÍN CHỈ CỦA CÁC HỌC PHẦN</t>
    </r>
    <r>
      <rPr>
        <sz val="14"/>
        <rFont val="Times New Roman"/>
        <family val="1"/>
      </rPr>
      <t xml:space="preserve">
</t>
    </r>
    <r>
      <rPr>
        <b/>
        <sz val="14"/>
        <rFont val="Times New Roman"/>
        <family val="1"/>
      </rPr>
      <t>TRONG</t>
    </r>
    <r>
      <rPr>
        <sz val="14"/>
        <rFont val="Times New Roman"/>
        <family val="1"/>
      </rPr>
      <t xml:space="preserve"> </t>
    </r>
    <r>
      <rPr>
        <b/>
        <sz val="14"/>
        <rFont val="Times New Roman"/>
        <family val="1"/>
      </rPr>
      <t>HỌC KỲ I  / 2013 - 2014</t>
    </r>
    <r>
      <rPr>
        <sz val="14"/>
        <rFont val="Times New Roman"/>
        <family val="1"/>
      </rPr>
      <t xml:space="preserve">
</t>
    </r>
    <r>
      <rPr>
        <b/>
        <i/>
        <sz val="14"/>
        <rFont val="Times New Roman"/>
        <family val="1"/>
      </rPr>
      <t>Bậc đào tạo : Cao đẳng  ( Khóa 2013 )</t>
    </r>
  </si>
  <si>
    <t>LỚP</t>
  </si>
  <si>
    <t xml:space="preserve">TÊN HỌC PHẦN </t>
  </si>
  <si>
    <t xml:space="preserve">GHI CHÚ </t>
  </si>
  <si>
    <t xml:space="preserve">13 CĐ-M  </t>
  </si>
  <si>
    <t>13 CĐ-TM
1, 2</t>
  </si>
  <si>
    <t>LT01</t>
  </si>
  <si>
    <t>LT02</t>
  </si>
  <si>
    <t>LT03</t>
  </si>
  <si>
    <t>LT04</t>
  </si>
  <si>
    <t>LT05</t>
  </si>
  <si>
    <t>LT06</t>
  </si>
  <si>
    <t>LT07</t>
  </si>
  <si>
    <t>SHEET</t>
  </si>
  <si>
    <t>26.05.95</t>
  </si>
  <si>
    <t>07.01.95</t>
  </si>
  <si>
    <t>06.09.95</t>
  </si>
  <si>
    <t>27.03.95</t>
  </si>
  <si>
    <t xml:space="preserve">Nguyễn Ngọc </t>
  </si>
  <si>
    <t>Nguyễn Tuấn</t>
  </si>
  <si>
    <t>02.10.95</t>
  </si>
  <si>
    <t>Phạm Vũ</t>
  </si>
  <si>
    <t>17.07.95</t>
  </si>
  <si>
    <t>08.06.95</t>
  </si>
  <si>
    <t>Trần</t>
  </si>
  <si>
    <t>25.05.95</t>
  </si>
  <si>
    <t>Định</t>
  </si>
  <si>
    <t>Lê Đức</t>
  </si>
  <si>
    <t>04.10.95</t>
  </si>
  <si>
    <t>06.01.95</t>
  </si>
  <si>
    <t>CẢNH BÁO
KẾT QUẢ HỌC TẬP</t>
  </si>
  <si>
    <t>(24)</t>
  </si>
  <si>
    <t>(25)</t>
  </si>
  <si>
    <t/>
  </si>
  <si>
    <t>KẾT QUẢ RÈN LUYỆN</t>
  </si>
  <si>
    <r>
      <t xml:space="preserve">Kích vào nút mũi tên của cột </t>
    </r>
    <r>
      <rPr>
        <b/>
        <sz val="13"/>
        <rFont val="Arial"/>
        <family val="2"/>
      </rPr>
      <t>Lớp</t>
    </r>
    <r>
      <rPr>
        <sz val="13"/>
        <rFont val="Arial"/>
        <family val="2"/>
      </rPr>
      <t>, chọn tên lớp, sau đó chọn toàn bộ MSSV (mã số sinh viên) của lớp, nhấn phím Ctrl-C để chép mã số SV.</t>
    </r>
  </si>
  <si>
    <t>Quy trình nhập điểm tổng kết Học kỳ CĐKT theo tín chỉ</t>
  </si>
  <si>
    <t>Số TC nợ</t>
  </si>
  <si>
    <t>GIẢNG VIÊN GIẢNG DẠY</t>
  </si>
  <si>
    <t>Tây</t>
  </si>
  <si>
    <t xml:space="preserve">Lê Công </t>
  </si>
  <si>
    <t>Triều</t>
  </si>
  <si>
    <t>TH02</t>
  </si>
  <si>
    <t>(26)</t>
  </si>
  <si>
    <t>(27)</t>
  </si>
  <si>
    <t>(28)</t>
  </si>
  <si>
    <t>(29)</t>
  </si>
  <si>
    <t>10.08.95</t>
  </si>
  <si>
    <t>Châu</t>
  </si>
  <si>
    <t>(32)</t>
  </si>
  <si>
    <t>(33)</t>
  </si>
  <si>
    <t>(34)</t>
  </si>
  <si>
    <t>ĐIỂM THI CHÍNH</t>
  </si>
  <si>
    <t>05.08.95</t>
  </si>
  <si>
    <t>18.08.95</t>
  </si>
  <si>
    <t>08.04.95</t>
  </si>
  <si>
    <t>21.07.94</t>
  </si>
  <si>
    <t>Sinh</t>
  </si>
  <si>
    <t>Thiên</t>
  </si>
  <si>
    <t>Đỗ Thị Cẩm</t>
  </si>
  <si>
    <t>Thu</t>
  </si>
  <si>
    <t>15.08.95</t>
  </si>
  <si>
    <t>05.06.94</t>
  </si>
  <si>
    <r>
      <t>Yêu cầu :</t>
    </r>
    <r>
      <rPr>
        <sz val="10"/>
        <rFont val="Times New Roman"/>
        <family val="1"/>
      </rPr>
      <t xml:space="preserve"> Khoa niêm yết cho sinh viên, lưu Giáo vụ Khoa và nộp bản chính cho Phòng Tuyển sinh - Đào tạo - Giới thiệu việc làm.</t>
    </r>
  </si>
  <si>
    <t>TRƯỜNG CAO ĐẲNG KỸ THUẬT LÝ TỰ TRỌNG THÀNH PHỐ HỒ CHÍ MINH</t>
  </si>
  <si>
    <t>06.01.94</t>
  </si>
  <si>
    <t>Hồ Quốc</t>
  </si>
  <si>
    <t>Hân</t>
  </si>
  <si>
    <t>17.01.95</t>
  </si>
  <si>
    <t>Ngọc</t>
  </si>
  <si>
    <t>Thức</t>
  </si>
  <si>
    <t>Tuyên</t>
  </si>
  <si>
    <t>29.01.95</t>
  </si>
  <si>
    <t>06.03.94</t>
  </si>
  <si>
    <t>06.07.94</t>
  </si>
  <si>
    <t>25.01.95</t>
  </si>
  <si>
    <t>Trịnh Văn</t>
  </si>
  <si>
    <t>Văn</t>
  </si>
  <si>
    <t>30.11.95</t>
  </si>
  <si>
    <t>Thoại</t>
  </si>
  <si>
    <t>21.09.95</t>
  </si>
  <si>
    <t>Mẫn</t>
  </si>
  <si>
    <t>Nhường</t>
  </si>
  <si>
    <t>Em</t>
  </si>
  <si>
    <t>Hằng</t>
  </si>
  <si>
    <t>Hoa</t>
  </si>
  <si>
    <t>Hướng</t>
  </si>
  <si>
    <t>Nhi</t>
  </si>
  <si>
    <t>14.12.95</t>
  </si>
  <si>
    <t>Nguyễn Thị</t>
  </si>
  <si>
    <t>13.11.95</t>
  </si>
  <si>
    <t>09.09.95</t>
  </si>
  <si>
    <t>Trinh</t>
  </si>
  <si>
    <t>Tuyến</t>
  </si>
  <si>
    <t>Vân</t>
  </si>
  <si>
    <t>15.12.94</t>
  </si>
  <si>
    <t>Lê Chí</t>
  </si>
  <si>
    <t>Lân</t>
  </si>
  <si>
    <t>07.04.95</t>
  </si>
  <si>
    <t>Huệ</t>
  </si>
  <si>
    <t>22.02.95</t>
  </si>
  <si>
    <t>24.06.95</t>
  </si>
  <si>
    <t>Thi</t>
  </si>
  <si>
    <t>Đếm
cột
thi
chính
&lt;5</t>
  </si>
  <si>
    <t>28.01.95</t>
  </si>
  <si>
    <t>Đếm
cột
HP
chính
&lt;4</t>
  </si>
  <si>
    <t>13D2010004</t>
  </si>
  <si>
    <t>13D2010005</t>
  </si>
  <si>
    <t>Trần Đình</t>
  </si>
  <si>
    <t>Ất</t>
  </si>
  <si>
    <t>13D2010011</t>
  </si>
  <si>
    <t>Vòng Đình</t>
  </si>
  <si>
    <t>Bích</t>
  </si>
  <si>
    <t>13D2010272</t>
  </si>
  <si>
    <t>K'</t>
  </si>
  <si>
    <t>Bis</t>
  </si>
  <si>
    <t>13D2010012</t>
  </si>
  <si>
    <t>13D2010017</t>
  </si>
  <si>
    <t>Trần Bảo</t>
  </si>
  <si>
    <t>Chinh</t>
  </si>
  <si>
    <t>13D2010023</t>
  </si>
  <si>
    <t>Dự</t>
  </si>
  <si>
    <t>13D2010273</t>
  </si>
  <si>
    <t>Dược</t>
  </si>
  <si>
    <t>13D2010026</t>
  </si>
  <si>
    <t>13D2010274</t>
  </si>
  <si>
    <t xml:space="preserve">Nguyễn Nhật </t>
  </si>
  <si>
    <t>13D2010279</t>
  </si>
  <si>
    <t>13D2010030</t>
  </si>
  <si>
    <t>13D2010048</t>
  </si>
  <si>
    <t>13D2010052</t>
  </si>
  <si>
    <t>13D2010054</t>
  </si>
  <si>
    <t>13D2010066</t>
  </si>
  <si>
    <t>12D2010067</t>
  </si>
  <si>
    <t>13D2010088</t>
  </si>
  <si>
    <t>13D2010093</t>
  </si>
  <si>
    <t>13D2010111</t>
  </si>
  <si>
    <t>13D2010113</t>
  </si>
  <si>
    <t>13D2010118</t>
  </si>
  <si>
    <t>13D2010123</t>
  </si>
  <si>
    <t>13D2010136</t>
  </si>
  <si>
    <t>13D2010138</t>
  </si>
  <si>
    <t>13D2010143</t>
  </si>
  <si>
    <t>13D2010153</t>
  </si>
  <si>
    <t>13D2010158</t>
  </si>
  <si>
    <t>13D2010173</t>
  </si>
  <si>
    <t>13D2010183</t>
  </si>
  <si>
    <t>13D2010188</t>
  </si>
  <si>
    <t>13D2010193</t>
  </si>
  <si>
    <t>13D2010203</t>
  </si>
  <si>
    <t>13D2010208</t>
  </si>
  <si>
    <t>13D2010211</t>
  </si>
  <si>
    <t>13D2010213</t>
  </si>
  <si>
    <t>13D2010218</t>
  </si>
  <si>
    <t>13D2010223</t>
  </si>
  <si>
    <t>13D2010227</t>
  </si>
  <si>
    <t>13D2010228</t>
  </si>
  <si>
    <t>13D2010233</t>
  </si>
  <si>
    <t>13D2010238</t>
  </si>
  <si>
    <t>13D2010243</t>
  </si>
  <si>
    <t>13D2010253</t>
  </si>
  <si>
    <t>13D2010258</t>
  </si>
  <si>
    <t>TRƯỞNG PHÒNG TS - ĐÀO TẠO - GTVL</t>
  </si>
  <si>
    <t>13D3010005</t>
  </si>
  <si>
    <t>Chung</t>
  </si>
  <si>
    <t>10.02.94</t>
  </si>
  <si>
    <t>13CĐ-ĐT1</t>
  </si>
  <si>
    <t>13D3010010</t>
  </si>
  <si>
    <t>13D3010014</t>
  </si>
  <si>
    <t>Nguyễn Khánh</t>
  </si>
  <si>
    <t>26.09.95</t>
  </si>
  <si>
    <t>13D3010018</t>
  </si>
  <si>
    <t>13D3010022</t>
  </si>
  <si>
    <t>Nguyễn Trung</t>
  </si>
  <si>
    <t>15.02.95</t>
  </si>
  <si>
    <t>13D3010026</t>
  </si>
  <si>
    <t>Phạm Giang</t>
  </si>
  <si>
    <t>CL.T.Minh</t>
  </si>
  <si>
    <t>13D3010027</t>
  </si>
  <si>
    <t>Hạnh</t>
  </si>
  <si>
    <t>14.02.95</t>
  </si>
  <si>
    <t>13D3010039</t>
  </si>
  <si>
    <t xml:space="preserve">Nguyễn Văn </t>
  </si>
  <si>
    <t>Hoanh</t>
  </si>
  <si>
    <t>14.10.95</t>
  </si>
  <si>
    <t>13D3010045</t>
  </si>
  <si>
    <t>Lê Thành</t>
  </si>
  <si>
    <t>13D3010051</t>
  </si>
  <si>
    <t>Huỳnh Duy</t>
  </si>
  <si>
    <t>09.10.95</t>
  </si>
  <si>
    <t>13D3010057</t>
  </si>
  <si>
    <t>10.05.95</t>
  </si>
  <si>
    <t>13D3010063</t>
  </si>
  <si>
    <t>08.10.94</t>
  </si>
  <si>
    <t>13D3010073</t>
  </si>
  <si>
    <t>Trịnh Phương</t>
  </si>
  <si>
    <t>21.02.95</t>
  </si>
  <si>
    <t>13D3010077</t>
  </si>
  <si>
    <t>Lâm Trọng</t>
  </si>
  <si>
    <t>04.09.95</t>
  </si>
  <si>
    <t>13D3010042</t>
  </si>
  <si>
    <t>Nguyễn Sinh</t>
  </si>
  <si>
    <t>13D3010086</t>
  </si>
  <si>
    <t>Viên Ngọc</t>
  </si>
  <si>
    <t>09.11.95</t>
  </si>
  <si>
    <t>13D3010092</t>
  </si>
  <si>
    <t>Phụng</t>
  </si>
  <si>
    <t>13D3010095</t>
  </si>
  <si>
    <t xml:space="preserve">Trịnh Ngọc </t>
  </si>
  <si>
    <t>12.12.95</t>
  </si>
  <si>
    <t>13D3010098</t>
  </si>
  <si>
    <t>20.03.94</t>
  </si>
  <si>
    <t>13D3010099</t>
  </si>
  <si>
    <t>Trương Thái</t>
  </si>
  <si>
    <t>13D3010102</t>
  </si>
  <si>
    <t>Quynh</t>
  </si>
  <si>
    <t>15.10.94</t>
  </si>
  <si>
    <t>13D3010105</t>
  </si>
  <si>
    <t>13D3010117</t>
  </si>
  <si>
    <t>Lê Chí Hoàng</t>
  </si>
  <si>
    <t>18.04.95</t>
  </si>
  <si>
    <t>13D3010120</t>
  </si>
  <si>
    <t>13D3010123</t>
  </si>
  <si>
    <t>Thể</t>
  </si>
  <si>
    <t>20.09.95</t>
  </si>
  <si>
    <t>13D3010129</t>
  </si>
  <si>
    <t>Ngô Công</t>
  </si>
  <si>
    <t>Thuật</t>
  </si>
  <si>
    <t>09.06.94</t>
  </si>
  <si>
    <t>13D3010135</t>
  </si>
  <si>
    <t>30.09.95</t>
  </si>
  <si>
    <t>13D3010138</t>
  </si>
  <si>
    <t>Trãi</t>
  </si>
  <si>
    <t>13D3010144</t>
  </si>
  <si>
    <t>Trần Nhựt</t>
  </si>
  <si>
    <t>30.07.95</t>
  </si>
  <si>
    <t>13D3010031</t>
  </si>
  <si>
    <t>19.01.94</t>
  </si>
  <si>
    <t>13D3010155</t>
  </si>
  <si>
    <t>Lâm Xuân</t>
  </si>
  <si>
    <t>13D3010002</t>
  </si>
  <si>
    <t>Đinh Khắc</t>
  </si>
  <si>
    <t>15.03.95</t>
  </si>
  <si>
    <t>13CĐ-ĐT2</t>
  </si>
  <si>
    <t>13D3010011</t>
  </si>
  <si>
    <t>26.11.93</t>
  </si>
  <si>
    <t>13D3010023</t>
  </si>
  <si>
    <t>07.08.93</t>
  </si>
  <si>
    <t>13D3010036</t>
  </si>
  <si>
    <t>Đinh Khải</t>
  </si>
  <si>
    <t>Hoàn</t>
  </si>
  <si>
    <t>19.11.94</t>
  </si>
  <si>
    <t>13D3010040</t>
  </si>
  <si>
    <t>Huấn</t>
  </si>
  <si>
    <t>13D3010046</t>
  </si>
  <si>
    <t>Mai Ngọc</t>
  </si>
  <si>
    <t>13D3010049</t>
  </si>
  <si>
    <t>Huỳnh</t>
  </si>
  <si>
    <t>04.10.94</t>
  </si>
  <si>
    <t>13D3010052</t>
  </si>
  <si>
    <t>13D3010058</t>
  </si>
  <si>
    <t>13D3010061</t>
  </si>
  <si>
    <t>20.07.94</t>
  </si>
  <si>
    <t>13D3010070</t>
  </si>
  <si>
    <t>Trần Chí</t>
  </si>
  <si>
    <t>16.06.93</t>
  </si>
  <si>
    <t>13D3010071</t>
  </si>
  <si>
    <t>11.06.94</t>
  </si>
  <si>
    <t>13D3010074</t>
  </si>
  <si>
    <t>Huỳnh Trọng</t>
  </si>
  <si>
    <t>20.07.95</t>
  </si>
  <si>
    <t>13D3010078</t>
  </si>
  <si>
    <t>Võ Phước</t>
  </si>
  <si>
    <t>13D3010081</t>
  </si>
  <si>
    <t xml:space="preserve">Huỳnh Tấn </t>
  </si>
  <si>
    <t>13D3010084</t>
  </si>
  <si>
    <t>Võ Trần Vũ</t>
  </si>
  <si>
    <t>13D3010090</t>
  </si>
  <si>
    <t>Trịnh Hoàng</t>
  </si>
  <si>
    <t>13D3010162</t>
  </si>
  <si>
    <t>Võ Trường</t>
  </si>
  <si>
    <t>08.09.95</t>
  </si>
  <si>
    <t>13D3010093</t>
  </si>
  <si>
    <t>Nguyễn Đại</t>
  </si>
  <si>
    <t>13D3010096</t>
  </si>
  <si>
    <t>14.09.93</t>
  </si>
  <si>
    <t>13D3010100</t>
  </si>
  <si>
    <t>Phạm Duy</t>
  </si>
  <si>
    <t>23.02.95</t>
  </si>
  <si>
    <t>13D3010103</t>
  </si>
  <si>
    <t>Trần Quang</t>
  </si>
  <si>
    <t>13D3010109</t>
  </si>
  <si>
    <t>13D3010112</t>
  </si>
  <si>
    <t>13D3010115</t>
  </si>
  <si>
    <t>13D3010118</t>
  </si>
  <si>
    <t>ĐIỂM TRUNG BÌNH CHUNG TÍCH LŨY
SAU KỲ THI CHÍNH</t>
  </si>
  <si>
    <t>ĐIỂM HỌC PHẦN PHỤ
THEO ĐIỂM THI PHỤ</t>
  </si>
  <si>
    <t>TÍNH LẠI ĐIỂM HỌC PHẦN PHỤ</t>
  </si>
  <si>
    <t>ĐIỂM TRUNG BÌNH CHUNG TÍCH LŨY
SAU KỲ THI PHỤ</t>
  </si>
  <si>
    <t>11.03.94</t>
  </si>
  <si>
    <t>13D3010121</t>
  </si>
  <si>
    <t>Đặng Xuân</t>
  </si>
  <si>
    <t>16.02.95</t>
  </si>
  <si>
    <t>13D3010127</t>
  </si>
  <si>
    <t>31.01.95</t>
  </si>
  <si>
    <t>13D3010130</t>
  </si>
  <si>
    <t>Thưởng</t>
  </si>
  <si>
    <t>13D3010133</t>
  </si>
  <si>
    <t xml:space="preserve">Nguyễn Trung </t>
  </si>
  <si>
    <t>13D3010142</t>
  </si>
  <si>
    <t>07.03.95</t>
  </si>
  <si>
    <t>13D3010145</t>
  </si>
  <si>
    <t>13D3010151</t>
  </si>
  <si>
    <t>Ngô Phi</t>
  </si>
  <si>
    <t>13D3010153</t>
  </si>
  <si>
    <t>19.02.95</t>
  </si>
  <si>
    <t>13D3010008</t>
  </si>
  <si>
    <t>13D3010012</t>
  </si>
  <si>
    <t>03.08.94</t>
  </si>
  <si>
    <t>13D3010076</t>
  </si>
  <si>
    <t>Lữ Đình</t>
  </si>
  <si>
    <t>13D3010024</t>
  </si>
  <si>
    <t>Hồ Thanh</t>
  </si>
  <si>
    <t>13D3010029</t>
  </si>
  <si>
    <t>Nguyễn Tấn Anh</t>
  </si>
  <si>
    <t>13D3010041</t>
  </si>
  <si>
    <t>08.05.94</t>
  </si>
  <si>
    <t>13D3010047</t>
  </si>
  <si>
    <t>13D3010053</t>
  </si>
  <si>
    <t>Đỗ Đăng</t>
  </si>
  <si>
    <t>13D3010056</t>
  </si>
  <si>
    <t>Phan Trung</t>
  </si>
  <si>
    <t>13.03.95</t>
  </si>
  <si>
    <t>13D3010069</t>
  </si>
  <si>
    <t>10.01.95</t>
  </si>
  <si>
    <t>13D3010079</t>
  </si>
  <si>
    <t>Hồ Đình</t>
  </si>
  <si>
    <t>07.02.95</t>
  </si>
  <si>
    <t>13D3010091</t>
  </si>
  <si>
    <t xml:space="preserve">Võ Thế </t>
  </si>
  <si>
    <t>13D3010094</t>
  </si>
  <si>
    <t>Phạm Hữu</t>
  </si>
  <si>
    <t>18.11.95</t>
  </si>
  <si>
    <t>13D3010101</t>
  </si>
  <si>
    <t>Vòng Đông</t>
  </si>
  <si>
    <t>09.02.94</t>
  </si>
  <si>
    <t>13D3010104</t>
  </si>
  <si>
    <t>Đặng Kỳ</t>
  </si>
  <si>
    <t>16.07.95</t>
  </si>
  <si>
    <t>13D3010107</t>
  </si>
  <si>
    <t>Tạc</t>
  </si>
  <si>
    <t>26.01.95</t>
  </si>
  <si>
    <t>13D3010110</t>
  </si>
  <si>
    <t xml:space="preserve">BẢNG ĐIỂM HỌC PHẦN ĐỒ ÁN MÔN HỌC </t>
  </si>
  <si>
    <t xml:space="preserve">Số ĐVHT: </t>
  </si>
  <si>
    <t>Lớp:</t>
  </si>
  <si>
    <t xml:space="preserve">HỌC KỲ:  </t>
  </si>
  <si>
    <t>Tên đồ án</t>
  </si>
  <si>
    <t>Yêu cầu : Khoa niêm yết cho sinh viên, lưu Giáo vụ Khoa và nộp bản chính cho Phòng Tuyển sinh - Đào tạo - Giới thiệu việc làm.</t>
  </si>
  <si>
    <t>TRƯỞNG BỘ MÔN</t>
  </si>
  <si>
    <t>Phan Chí</t>
  </si>
  <si>
    <t>13D3010116</t>
  </si>
  <si>
    <t>Vũ Hứa Minh</t>
  </si>
  <si>
    <t>13D3010119</t>
  </si>
  <si>
    <t>Bạch Ngọc</t>
  </si>
  <si>
    <t>13D3010122</t>
  </si>
  <si>
    <t>Nguyễn Thạch</t>
  </si>
  <si>
    <t>13D3010125</t>
  </si>
  <si>
    <t xml:space="preserve">Nguyễn Ngọc Huy </t>
  </si>
  <si>
    <t>09.05.93</t>
  </si>
  <si>
    <t>13D3010128</t>
  </si>
  <si>
    <t>Vũ Duy</t>
  </si>
  <si>
    <t>12.03.93</t>
  </si>
  <si>
    <t>13D3010131</t>
  </si>
  <si>
    <t>02.01.95</t>
  </si>
  <si>
    <t>13D3010134</t>
  </si>
  <si>
    <t>Đào Hữu</t>
  </si>
  <si>
    <t>13D3010137</t>
  </si>
  <si>
    <t>Phan Tấn</t>
  </si>
  <si>
    <t>13D3010140</t>
  </si>
  <si>
    <t>13D3010143</t>
  </si>
  <si>
    <t>13D3010146</t>
  </si>
  <si>
    <t xml:space="preserve">Võ Duy </t>
  </si>
  <si>
    <t>13D3010150</t>
  </si>
  <si>
    <t>15.01.91</t>
  </si>
  <si>
    <t>13D3010154</t>
  </si>
  <si>
    <t>Lâm Hoài</t>
  </si>
  <si>
    <t>13D3010159</t>
  </si>
  <si>
    <t>Xuân</t>
  </si>
  <si>
    <t>27.06.95</t>
  </si>
  <si>
    <t>13D3010176</t>
  </si>
  <si>
    <t>Đặng Thanh</t>
  </si>
  <si>
    <t>13D3010166</t>
  </si>
  <si>
    <t>Trần Khánh</t>
  </si>
  <si>
    <t>20.05.94</t>
  </si>
  <si>
    <t>13D3010013</t>
  </si>
  <si>
    <t>13D3010017</t>
  </si>
  <si>
    <t>12.12.94</t>
  </si>
  <si>
    <t>13D3010177</t>
  </si>
  <si>
    <t>13D3010168</t>
  </si>
  <si>
    <t>Nguyễn Phi</t>
  </si>
  <si>
    <t>13D3010167</t>
  </si>
  <si>
    <t>Trần Huệ</t>
  </si>
  <si>
    <t>09.06.95</t>
  </si>
  <si>
    <t>13D3010034</t>
  </si>
  <si>
    <t>13D3010035</t>
  </si>
  <si>
    <t>Lê Nguyễn</t>
  </si>
  <si>
    <t>13D3010169</t>
  </si>
  <si>
    <t>13D3010178</t>
  </si>
  <si>
    <t>Đinh Tiến</t>
  </si>
  <si>
    <t>10.08.92</t>
  </si>
  <si>
    <t>13D3010180</t>
  </si>
  <si>
    <t>Mạnh</t>
  </si>
  <si>
    <t>01.03.93</t>
  </si>
  <si>
    <t>13D3010181</t>
  </si>
  <si>
    <t>Trần Đức</t>
  </si>
  <si>
    <t>02.02.94</t>
  </si>
  <si>
    <t>13D3010194</t>
  </si>
  <si>
    <t>05.03.95</t>
  </si>
  <si>
    <t>13D3010182</t>
  </si>
  <si>
    <t xml:space="preserve">Lê Thanh </t>
  </si>
  <si>
    <t>13D3010185</t>
  </si>
  <si>
    <t>Phan Vũ</t>
  </si>
  <si>
    <t>06.09.91</t>
  </si>
  <si>
    <t>13D3010172</t>
  </si>
  <si>
    <t>Tiễn</t>
  </si>
  <si>
    <t>24.07.95</t>
  </si>
  <si>
    <t>13D3010174</t>
  </si>
  <si>
    <t>Trạng</t>
  </si>
  <si>
    <t>10.03.95</t>
  </si>
  <si>
    <t>13D3010067</t>
  </si>
  <si>
    <t>Vương Huỳnh</t>
  </si>
  <si>
    <t>20.11.94</t>
  </si>
  <si>
    <t>13D3010195</t>
  </si>
  <si>
    <t>29.06.89</t>
  </si>
  <si>
    <t>13D3010193</t>
  </si>
  <si>
    <t>Đặng Thế</t>
  </si>
  <si>
    <t>27.09.93</t>
  </si>
  <si>
    <t>13D3010190</t>
  </si>
  <si>
    <t>Trần Triệu</t>
  </si>
  <si>
    <t>13D3010158</t>
  </si>
  <si>
    <t>Võ Tấn</t>
  </si>
  <si>
    <t>24.03.94</t>
  </si>
  <si>
    <t>12D3010027</t>
  </si>
  <si>
    <t>04.08.94</t>
  </si>
  <si>
    <t>12D3010177</t>
  </si>
  <si>
    <t xml:space="preserve">Ngô Đức  </t>
  </si>
  <si>
    <t>Vượng</t>
  </si>
  <si>
    <t>10.11.94</t>
  </si>
  <si>
    <t>13D301Đ001</t>
  </si>
  <si>
    <t>Lương Hoàng Thuận</t>
  </si>
  <si>
    <t>07.11.94</t>
  </si>
  <si>
    <t>13CĐ-Đ1</t>
  </si>
  <si>
    <t>13D301Đ009</t>
  </si>
  <si>
    <t>Võ Thành</t>
  </si>
  <si>
    <t>26.03.95</t>
  </si>
  <si>
    <t>13D301Đ013</t>
  </si>
  <si>
    <t>13D301Đ017</t>
  </si>
  <si>
    <t>06.10.95</t>
  </si>
  <si>
    <t>13D301Đ021</t>
  </si>
  <si>
    <t>13D301Đ025</t>
  </si>
  <si>
    <t>16.11.93</t>
  </si>
  <si>
    <t>13D301Đ033</t>
  </si>
  <si>
    <t xml:space="preserve">Trương Văn </t>
  </si>
  <si>
    <t>13D301Đ037</t>
  </si>
  <si>
    <t>13D301Đ041</t>
  </si>
  <si>
    <t>08.12.94</t>
  </si>
  <si>
    <t>13D301Đ045</t>
  </si>
  <si>
    <t>Lê Công</t>
  </si>
  <si>
    <t>03.01.94</t>
  </si>
  <si>
    <t>13D301Đ049</t>
  </si>
  <si>
    <t>14.07.95</t>
  </si>
  <si>
    <t>13D301Đ053</t>
  </si>
  <si>
    <t>13D301Đ057</t>
  </si>
  <si>
    <t>Trịnh Thanh</t>
  </si>
  <si>
    <t>02.10.94</t>
  </si>
  <si>
    <t>13D301Đ061</t>
  </si>
  <si>
    <t>Huỳnh Thanh</t>
  </si>
  <si>
    <t>20.04.93</t>
  </si>
  <si>
    <t>13D301Đ065</t>
  </si>
  <si>
    <t>Đoàn Lê Xuân</t>
  </si>
  <si>
    <t>13D301Đ073</t>
  </si>
  <si>
    <t>Trịnh Đại</t>
  </si>
  <si>
    <t>Lăng</t>
  </si>
  <si>
    <t>31.07.94</t>
  </si>
  <si>
    <t>13D301Đ204</t>
  </si>
  <si>
    <t>13D301Đ162</t>
  </si>
  <si>
    <t>Đỗ Văn</t>
  </si>
  <si>
    <t>13D301Đ081</t>
  </si>
  <si>
    <t>Mai Đình</t>
  </si>
  <si>
    <t>Luyện</t>
  </si>
  <si>
    <t>05.02.92</t>
  </si>
  <si>
    <t>13D301Đ085</t>
  </si>
  <si>
    <t>Võ Hoài</t>
  </si>
  <si>
    <t>09.09.94</t>
  </si>
  <si>
    <t>13D301Đ089</t>
  </si>
  <si>
    <t>29.12.94</t>
  </si>
  <si>
    <t>13D301Đ097</t>
  </si>
  <si>
    <t>13D301Đ101</t>
  </si>
  <si>
    <t>13D301Đ117</t>
  </si>
  <si>
    <t>Trịnh Ngọc</t>
  </si>
  <si>
    <t>13D301Đ121</t>
  </si>
  <si>
    <t>30.04.94</t>
  </si>
  <si>
    <t>13D301Đ124</t>
  </si>
  <si>
    <t>Cao Nguyễn Nhật</t>
  </si>
  <si>
    <t>02.12.95</t>
  </si>
  <si>
    <t>13D301Đ130</t>
  </si>
  <si>
    <t>13D301Đ133</t>
  </si>
  <si>
    <t>Nguyễn Khắc</t>
  </si>
  <si>
    <t>11.07.92</t>
  </si>
  <si>
    <t>13D301Đ136</t>
  </si>
  <si>
    <t>13D301Đ169</t>
  </si>
  <si>
    <t>13D301Đ154</t>
  </si>
  <si>
    <t>Võ Đức</t>
  </si>
  <si>
    <t>13D301Đ160</t>
  </si>
  <si>
    <t>Nguyễn Bá</t>
  </si>
  <si>
    <t>13D301Đ163</t>
  </si>
  <si>
    <t>Trước</t>
  </si>
  <si>
    <t>07.09.94</t>
  </si>
  <si>
    <t>13D301Đ166</t>
  </si>
  <si>
    <t>Tư</t>
  </si>
  <si>
    <t>13D301Đ178</t>
  </si>
  <si>
    <t>09.10.94</t>
  </si>
  <si>
    <t>13D301Đ006</t>
  </si>
  <si>
    <t>Dương Hồng</t>
  </si>
  <si>
    <t>13CĐ-Đ2</t>
  </si>
  <si>
    <t>13D301Đ010</t>
  </si>
  <si>
    <t>Bảy</t>
  </si>
  <si>
    <t>13D301Đ022</t>
  </si>
  <si>
    <t>13D301Đ026</t>
  </si>
  <si>
    <t>Trương Thành</t>
  </si>
  <si>
    <t>27.09.95</t>
  </si>
  <si>
    <t>13D301Đ034</t>
  </si>
  <si>
    <t>Điệp</t>
  </si>
  <si>
    <t>03.11.93</t>
  </si>
  <si>
    <t>13D301Đ038</t>
  </si>
  <si>
    <t>Hàn Minh</t>
  </si>
  <si>
    <t>26.08.95</t>
  </si>
  <si>
    <t>13D301Đ042</t>
  </si>
  <si>
    <t>23.03.95</t>
  </si>
  <si>
    <t>13D301Đ205</t>
  </si>
  <si>
    <t>Mai Văn</t>
  </si>
  <si>
    <t>22.05.95</t>
  </si>
  <si>
    <t>13D301Đ054</t>
  </si>
  <si>
    <t>27.12.95</t>
  </si>
  <si>
    <t>13D301Đ058</t>
  </si>
  <si>
    <t>Trương Anh</t>
  </si>
  <si>
    <t>29.11.95</t>
  </si>
  <si>
    <t>13D301Đ074</t>
  </si>
  <si>
    <t>Ngô Quốc Thái</t>
  </si>
  <si>
    <t>13D301Đ078</t>
  </si>
  <si>
    <t>Phạm Tấn</t>
  </si>
  <si>
    <t>28.06.94</t>
  </si>
  <si>
    <t>13D301Đ086</t>
  </si>
  <si>
    <t>13D301Đ198</t>
  </si>
  <si>
    <t>Hoàng Chí</t>
  </si>
  <si>
    <t>Nguyện</t>
  </si>
  <si>
    <t>11.06.95</t>
  </si>
  <si>
    <t>13D301Đ098</t>
  </si>
  <si>
    <t>Hồ Sỹ</t>
  </si>
  <si>
    <t>06.04.94</t>
  </si>
  <si>
    <t>13D301Đ106</t>
  </si>
  <si>
    <t>Trần Hữu</t>
  </si>
  <si>
    <t>19.06.95</t>
  </si>
  <si>
    <t>13D301Đ110</t>
  </si>
  <si>
    <t>13D301Đ122</t>
  </si>
  <si>
    <t>18.07.95</t>
  </si>
  <si>
    <t>13D301Đ125</t>
  </si>
  <si>
    <t>05.11.95</t>
  </si>
  <si>
    <t>13D301Đ128</t>
  </si>
  <si>
    <t>Lâm Ngọc</t>
  </si>
  <si>
    <t>23.06.94</t>
  </si>
  <si>
    <t>13D301Đ134</t>
  </si>
  <si>
    <t>Nguyễn Lê Trung</t>
  </si>
  <si>
    <t>13D301Đ137</t>
  </si>
  <si>
    <t>Trần Phúc</t>
  </si>
  <si>
    <t>Thạnh</t>
  </si>
  <si>
    <t>13D301Đ140</t>
  </si>
  <si>
    <t>Phạm Hoàng</t>
  </si>
  <si>
    <t>13D301Đ143</t>
  </si>
  <si>
    <t>13D301Đ146</t>
  </si>
  <si>
    <t>13D301Đ152</t>
  </si>
  <si>
    <t>Phạm Cao Hữu</t>
  </si>
  <si>
    <t>13D301Đ155</t>
  </si>
  <si>
    <t>Hồ Huynh</t>
  </si>
  <si>
    <t>13D301Đ158</t>
  </si>
  <si>
    <t>Đỗ Tiến</t>
  </si>
  <si>
    <t>02.01.94</t>
  </si>
  <si>
    <t>13D301Đ161</t>
  </si>
  <si>
    <t>13D301Đ164</t>
  </si>
  <si>
    <t>Đàm Quốc</t>
  </si>
  <si>
    <t>10.01.94</t>
  </si>
  <si>
    <t>13D301Đ167</t>
  </si>
  <si>
    <t>Phạm Lê Tuấn</t>
  </si>
  <si>
    <t>22.09.93</t>
  </si>
  <si>
    <t>13D301Đ170</t>
  </si>
  <si>
    <t>Tuệ</t>
  </si>
  <si>
    <t>05.08.93</t>
  </si>
  <si>
    <t>13D301Đ176</t>
  </si>
  <si>
    <t>Đoàn Tuấn</t>
  </si>
  <si>
    <t>13D301Đ184</t>
  </si>
  <si>
    <t>05.07.95</t>
  </si>
  <si>
    <t>13D301Đ203</t>
  </si>
  <si>
    <t>15.02.93</t>
  </si>
  <si>
    <t>13D301Đ003</t>
  </si>
  <si>
    <t>Võ Phạm Trường</t>
  </si>
  <si>
    <t>15.07.95</t>
  </si>
  <si>
    <t>13CĐ-Đ3</t>
  </si>
  <si>
    <t>13D301Đ035</t>
  </si>
  <si>
    <t>Mai Tuấn</t>
  </si>
  <si>
    <t>13D301Đ007</t>
  </si>
  <si>
    <t>26.10.94</t>
  </si>
  <si>
    <t>13D301Đ090</t>
  </si>
  <si>
    <t>Đoàn Thái</t>
  </si>
  <si>
    <t>13D301Đ011</t>
  </si>
  <si>
    <t>Đoàn Văn</t>
  </si>
  <si>
    <t>27.03.93</t>
  </si>
  <si>
    <t>13D301Đ015</t>
  </si>
  <si>
    <t>25.03.95</t>
  </si>
  <si>
    <t>13D301Đ043</t>
  </si>
  <si>
    <t>Nguyễn Khắc Thanh</t>
  </si>
  <si>
    <t>02.09.95</t>
  </si>
  <si>
    <t>13D301Đ047</t>
  </si>
  <si>
    <t>Phương Văn</t>
  </si>
  <si>
    <t>13D301Đ051</t>
  </si>
  <si>
    <t>Hoàng Văn</t>
  </si>
  <si>
    <t>08.09.94</t>
  </si>
  <si>
    <t>13D301Đ055</t>
  </si>
  <si>
    <t>Phạm Huy</t>
  </si>
  <si>
    <t>13D301Đ059</t>
  </si>
  <si>
    <t>05.06.95</t>
  </si>
  <si>
    <t>13D301Đ063</t>
  </si>
  <si>
    <t>Diêu Anh</t>
  </si>
  <si>
    <t>13D301Đ067</t>
  </si>
  <si>
    <t>05.09.95</t>
  </si>
  <si>
    <t>13D301Đ071</t>
  </si>
  <si>
    <t>Phạm</t>
  </si>
  <si>
    <t>Kính</t>
  </si>
  <si>
    <t>02.09.93</t>
  </si>
  <si>
    <t>13D301Đ075</t>
  </si>
  <si>
    <t>08.02.95</t>
  </si>
  <si>
    <t>13D301Đ079</t>
  </si>
  <si>
    <t>Khương Trung</t>
  </si>
  <si>
    <t>22.11.95</t>
  </si>
  <si>
    <t>13D301Đ087</t>
  </si>
  <si>
    <t>09.12.95</t>
  </si>
  <si>
    <t>13D301Đ091</t>
  </si>
  <si>
    <t>Lâm Hoàng</t>
  </si>
  <si>
    <t>31.07.95</t>
  </si>
  <si>
    <t>13D301Đ095</t>
  </si>
  <si>
    <t>Huỳnh Hoàng</t>
  </si>
  <si>
    <t>13D301Đ099</t>
  </si>
  <si>
    <t>03.04.94</t>
  </si>
  <si>
    <t>13D301Đ103</t>
  </si>
  <si>
    <t>13D301Đ111</t>
  </si>
  <si>
    <t>Hồ Văn</t>
  </si>
  <si>
    <t>17.06.94</t>
  </si>
  <si>
    <t>13D301Đ202</t>
  </si>
  <si>
    <t>Trần Hoàng</t>
  </si>
  <si>
    <t>23.05.94</t>
  </si>
  <si>
    <t>13D301Đ115</t>
  </si>
  <si>
    <t>Đoàn Viết Cao</t>
  </si>
  <si>
    <t>29.12.95</t>
  </si>
  <si>
    <t>13D301Đ119</t>
  </si>
  <si>
    <t>Lưu Đức</t>
  </si>
  <si>
    <t>01.08.95</t>
  </si>
  <si>
    <t>13D301Đ129</t>
  </si>
  <si>
    <t>Văn Hữu Duy</t>
  </si>
  <si>
    <t>13D301Đ151</t>
  </si>
  <si>
    <t>Đào Văn</t>
  </si>
  <si>
    <t>16.07.94</t>
  </si>
  <si>
    <t>13D301Đ135</t>
  </si>
  <si>
    <t>Phan Duy</t>
  </si>
  <si>
    <t>13D301Đ138</t>
  </si>
  <si>
    <t>Trương Công</t>
  </si>
  <si>
    <t>13D301Đ185</t>
  </si>
  <si>
    <t>13D301Đ144</t>
  </si>
  <si>
    <t>Thuần</t>
  </si>
  <si>
    <t>13D301Đ147</t>
  </si>
  <si>
    <t>13D301Đ153</t>
  </si>
  <si>
    <t>Trượng Tân</t>
  </si>
  <si>
    <t>Trang</t>
  </si>
  <si>
    <t>13D301Đ159</t>
  </si>
  <si>
    <t>Huỳnh Minh</t>
  </si>
  <si>
    <t>13D301Đ165</t>
  </si>
  <si>
    <t>Hoàng Thanh</t>
  </si>
  <si>
    <t>07.07.94</t>
  </si>
  <si>
    <t>13D301Đ168</t>
  </si>
  <si>
    <t>Lê Mạnh</t>
  </si>
  <si>
    <t>13D301Đ171</t>
  </si>
  <si>
    <t>13.07.91</t>
  </si>
  <si>
    <t>13D301Đ174</t>
  </si>
  <si>
    <t>Tăng Ngọc</t>
  </si>
  <si>
    <t>Viên</t>
  </si>
  <si>
    <t>13D301Đ180</t>
  </si>
  <si>
    <t>29.06.95</t>
  </si>
  <si>
    <t>13D301Đ004</t>
  </si>
  <si>
    <t>13D301Đ149</t>
  </si>
  <si>
    <t>13D301Đ008</t>
  </si>
  <si>
    <t>Trương Vũ</t>
  </si>
  <si>
    <t>03.11.94</t>
  </si>
  <si>
    <t>13D301Đ016</t>
  </si>
  <si>
    <t>17.03.95</t>
  </si>
  <si>
    <t>13D301Đ193</t>
  </si>
  <si>
    <t>Chính</t>
  </si>
  <si>
    <t>14.02.94</t>
  </si>
  <si>
    <t>13D301Đ020</t>
  </si>
  <si>
    <t>Trịnh Lê</t>
  </si>
  <si>
    <t>Cung</t>
  </si>
  <si>
    <t>13D301Đ024</t>
  </si>
  <si>
    <t xml:space="preserve">Trương Công </t>
  </si>
  <si>
    <t>Duẩn</t>
  </si>
  <si>
    <t>13D301Đ192</t>
  </si>
  <si>
    <t>Cao Trùng</t>
  </si>
  <si>
    <t>26.02.95</t>
  </si>
  <si>
    <t>13D301Đ028</t>
  </si>
  <si>
    <t>02.08.91</t>
  </si>
  <si>
    <t>13D301Đ181</t>
  </si>
  <si>
    <t>Lâm Văn</t>
  </si>
  <si>
    <t>04.04.94</t>
  </si>
  <si>
    <t>13D301Đ191</t>
  </si>
  <si>
    <t>Nguyễn Hiền</t>
  </si>
  <si>
    <t>05.05.95</t>
  </si>
  <si>
    <t>13D301Đ040</t>
  </si>
  <si>
    <t>03.06.95</t>
  </si>
  <si>
    <t>13D301Đ048</t>
  </si>
  <si>
    <t>13D301Đ056</t>
  </si>
  <si>
    <t>04.01.95</t>
  </si>
  <si>
    <t>13D301Đ201</t>
  </si>
  <si>
    <t>13.09.95</t>
  </si>
  <si>
    <t>13D301Đ064</t>
  </si>
  <si>
    <t>Đào Tuấn</t>
  </si>
  <si>
    <t>11.09.95</t>
  </si>
  <si>
    <t>13D301Đ068</t>
  </si>
  <si>
    <t>23.01.93</t>
  </si>
  <si>
    <t>13D301Đ194</t>
  </si>
  <si>
    <t>13D301Đ076</t>
  </si>
  <si>
    <t xml:space="preserve">Nguyễn Bá </t>
  </si>
  <si>
    <t>13D301Đ084</t>
  </si>
  <si>
    <t>25.03.93</t>
  </si>
  <si>
    <t>13D301Đ088</t>
  </si>
  <si>
    <t>14.07.93</t>
  </si>
  <si>
    <t>13D301Đ096</t>
  </si>
  <si>
    <t>01.10.94</t>
  </si>
  <si>
    <t>13D301Đ206</t>
  </si>
  <si>
    <t>Diệp Hoàng</t>
  </si>
  <si>
    <t>13D301Đ100</t>
  </si>
  <si>
    <t xml:space="preserve">Phạm Nguyễn Anh </t>
  </si>
  <si>
    <t>28.09.95</t>
  </si>
  <si>
    <t>13D301Đ104</t>
  </si>
  <si>
    <t>Trần Lê Đức</t>
  </si>
  <si>
    <t>30.08.95</t>
  </si>
  <si>
    <t>13D301Đ005</t>
  </si>
  <si>
    <t>13D301Đ108</t>
  </si>
  <si>
    <t>Võ Tống Hồng</t>
  </si>
  <si>
    <t>25.12.95</t>
  </si>
  <si>
    <t>13D301Đ195</t>
  </si>
  <si>
    <t>19.08.94</t>
  </si>
  <si>
    <t>13D301Đ196</t>
  </si>
  <si>
    <t>Nguyễn Toàn</t>
  </si>
  <si>
    <t>13.08.95</t>
  </si>
  <si>
    <t>13D301Đ197</t>
  </si>
  <si>
    <t>Đinh Văn</t>
  </si>
  <si>
    <t>13D301Đ188</t>
  </si>
  <si>
    <t>Đặng Ngọc</t>
  </si>
  <si>
    <t>13D301Đ183</t>
  </si>
  <si>
    <t>Trương Hoàng</t>
  </si>
  <si>
    <t>13D301Đ182</t>
  </si>
  <si>
    <t>Trần Tuấn</t>
  </si>
  <si>
    <t>13D301Đ179</t>
  </si>
  <si>
    <t>Lương Triều</t>
  </si>
  <si>
    <t>21.06.95</t>
  </si>
  <si>
    <t>12D301Đ033</t>
  </si>
  <si>
    <t>12D301Đ047</t>
  </si>
  <si>
    <t>22.06.94</t>
  </si>
  <si>
    <t>12D301Đ122</t>
  </si>
  <si>
    <t>12D301Đ163</t>
  </si>
  <si>
    <t>03.05.93</t>
  </si>
  <si>
    <t>13D2060001</t>
  </si>
  <si>
    <t>13CĐ-NL1</t>
  </si>
  <si>
    <t>13D2060003</t>
  </si>
  <si>
    <t>Nguyễn Khoa</t>
  </si>
  <si>
    <t>01.09.95</t>
  </si>
  <si>
    <t>13D2060005</t>
  </si>
  <si>
    <t>13D2060007</t>
  </si>
  <si>
    <t>13D2060009</t>
  </si>
  <si>
    <t>12.06.94</t>
  </si>
  <si>
    <t>13D2060013</t>
  </si>
  <si>
    <t>Gia</t>
  </si>
  <si>
    <t>28.03.88</t>
  </si>
  <si>
    <t>13D2060015</t>
  </si>
  <si>
    <t>Phạm Khắc</t>
  </si>
  <si>
    <t>13D2060017</t>
  </si>
  <si>
    <t>Phan Thị</t>
  </si>
  <si>
    <t>Hết</t>
  </si>
  <si>
    <t>13D2060070</t>
  </si>
  <si>
    <t>Hoàng Trung</t>
  </si>
  <si>
    <t>13D2060071</t>
  </si>
  <si>
    <t>04.11.95</t>
  </si>
  <si>
    <t>13D2060023</t>
  </si>
  <si>
    <t>Lại Văn</t>
  </si>
  <si>
    <t>13D2060025</t>
  </si>
  <si>
    <t>13D2060027</t>
  </si>
  <si>
    <t>Đặng Vĩ</t>
  </si>
  <si>
    <t>13D2060029</t>
  </si>
  <si>
    <t>17.12.95</t>
  </si>
  <si>
    <t>13D2060033</t>
  </si>
  <si>
    <t>Phạm Nhật</t>
  </si>
  <si>
    <t>13.02.95</t>
  </si>
  <si>
    <t>13D2060039</t>
  </si>
  <si>
    <t>Lê Hồng</t>
  </si>
  <si>
    <t>27.07.93</t>
  </si>
  <si>
    <t>13D2060041</t>
  </si>
  <si>
    <t>07.11.95</t>
  </si>
  <si>
    <t>13D2060043</t>
  </si>
  <si>
    <t>Đặng Vinh</t>
  </si>
  <si>
    <t>Quan</t>
  </si>
  <si>
    <t>13D2060047</t>
  </si>
  <si>
    <t>11.04.94</t>
  </si>
  <si>
    <t>13D2060049</t>
  </si>
  <si>
    <t>Đỗ Ngọc</t>
  </si>
  <si>
    <t>Sịn</t>
  </si>
  <si>
    <t>04.02.95</t>
  </si>
  <si>
    <t>13D2060051</t>
  </si>
  <si>
    <t>18.04.94</t>
  </si>
  <si>
    <t>13D2060053</t>
  </si>
  <si>
    <t>Hồ Tấn</t>
  </si>
  <si>
    <t>11.04.95</t>
  </si>
  <si>
    <t>13D2060055</t>
  </si>
  <si>
    <t>Lê Song</t>
  </si>
  <si>
    <t>13D2060063</t>
  </si>
  <si>
    <t>Lê Nguyễn Quốc</t>
  </si>
  <si>
    <t>12D2060092</t>
  </si>
  <si>
    <t>13D2060065</t>
  </si>
  <si>
    <t>13D2060067</t>
  </si>
  <si>
    <t>Phạm Trọng</t>
  </si>
  <si>
    <t>13D2060057</t>
  </si>
  <si>
    <t>Phan Phước</t>
  </si>
  <si>
    <t>Trà</t>
  </si>
  <si>
    <t>13D2060006</t>
  </si>
  <si>
    <t>Hà Phúc Thanh</t>
  </si>
  <si>
    <t>Chương</t>
  </si>
  <si>
    <t>08.07.95</t>
  </si>
  <si>
    <t>13CĐ-NL2</t>
  </si>
  <si>
    <t>13D2060010</t>
  </si>
  <si>
    <t>13D2060012</t>
  </si>
  <si>
    <t>Võ Trung</t>
  </si>
  <si>
    <t>13D2060014</t>
  </si>
  <si>
    <t>13D2060016</t>
  </si>
  <si>
    <t>Lê Trung</t>
  </si>
  <si>
    <t>13D2060018</t>
  </si>
  <si>
    <t>01.02.94</t>
  </si>
  <si>
    <t>13D2060072</t>
  </si>
  <si>
    <t>Đinh Hồ</t>
  </si>
  <si>
    <t>13D2060020</t>
  </si>
  <si>
    <t>Ngô Đăng</t>
  </si>
  <si>
    <t>13D2060022</t>
  </si>
  <si>
    <t>Trần Nguyễn Đăng</t>
  </si>
  <si>
    <t>13D2060024</t>
  </si>
  <si>
    <t>Kí</t>
  </si>
  <si>
    <t>09.03.94</t>
  </si>
  <si>
    <t>13D2060002</t>
  </si>
  <si>
    <t>Bạch Trung</t>
  </si>
  <si>
    <t>20.06.94</t>
  </si>
  <si>
    <t>13D2060030</t>
  </si>
  <si>
    <t>18.06.95</t>
  </si>
  <si>
    <t>13D2060032</t>
  </si>
  <si>
    <t>Nguyễn Thế</t>
  </si>
  <si>
    <t>09.01.95</t>
  </si>
  <si>
    <t>13D2060073</t>
  </si>
  <si>
    <t>19.10.95</t>
  </si>
  <si>
    <t>13D2060034</t>
  </si>
  <si>
    <t>13D2060036</t>
  </si>
  <si>
    <t>17.01.94</t>
  </si>
  <si>
    <t>13D2060038</t>
  </si>
  <si>
    <t>Liêu Nguyên</t>
  </si>
  <si>
    <t>13D2060042</t>
  </si>
  <si>
    <t>Hồ Thế</t>
  </si>
  <si>
    <t>Phy</t>
  </si>
  <si>
    <t>03.12.92</t>
  </si>
  <si>
    <t>13D2060044</t>
  </si>
  <si>
    <t>Hoàng Mạnh</t>
  </si>
  <si>
    <t>13D2060050</t>
  </si>
  <si>
    <t>Nguyễn Mai Thành</t>
  </si>
  <si>
    <t>22.09.95</t>
  </si>
  <si>
    <t>13D2060052</t>
  </si>
  <si>
    <t>Trà Quí</t>
  </si>
  <si>
    <t>14.05.93</t>
  </si>
  <si>
    <t>13D2060054</t>
  </si>
  <si>
    <t>21.01.95</t>
  </si>
  <si>
    <t>13D2060056</t>
  </si>
  <si>
    <t>Đoàn Hữu</t>
  </si>
  <si>
    <t>13D2060058</t>
  </si>
  <si>
    <t>Ngô Đặng Nhật</t>
  </si>
  <si>
    <t>13D2060060</t>
  </si>
  <si>
    <t>Đỗ Duy</t>
  </si>
  <si>
    <t>06.06.93</t>
  </si>
  <si>
    <t>13D2060062</t>
  </si>
  <si>
    <t>Đặng Văn</t>
  </si>
  <si>
    <t>Tuyền</t>
  </si>
  <si>
    <t>13D2060064</t>
  </si>
  <si>
    <t>13D2060066</t>
  </si>
  <si>
    <t>CL.Trao</t>
  </si>
  <si>
    <t>CK6</t>
  </si>
  <si>
    <t>CK6-DT.Kơ Ho*</t>
  </si>
  <si>
    <t>26.12.95</t>
  </si>
  <si>
    <t>08.06.92</t>
  </si>
  <si>
    <t>28.08.93</t>
  </si>
  <si>
    <t>16.04.95</t>
  </si>
  <si>
    <t>06.08.94</t>
  </si>
  <si>
    <t>01.04.95</t>
  </si>
  <si>
    <t>06.07.93</t>
  </si>
  <si>
    <t>19.02.93</t>
  </si>
  <si>
    <t>CL.T.Nhân</t>
  </si>
  <si>
    <t>CL.T.Lượng</t>
  </si>
  <si>
    <t>27.08.94</t>
  </si>
  <si>
    <t>29.07.94</t>
  </si>
  <si>
    <t>10.06.94</t>
  </si>
  <si>
    <t>04.05.95</t>
  </si>
  <si>
    <t>12.09.94</t>
  </si>
  <si>
    <t>24.06.94</t>
  </si>
  <si>
    <t>CL.Ẩn</t>
  </si>
  <si>
    <t>07.09.95</t>
  </si>
  <si>
    <t>13D2010001</t>
  </si>
  <si>
    <t>Huỳnh Trần Công</t>
  </si>
  <si>
    <t>SỐ TÍN CHỈ</t>
  </si>
  <si>
    <t>13CĐ-CK2</t>
  </si>
  <si>
    <t>13D2010007</t>
  </si>
  <si>
    <t>Đinh Quốc</t>
  </si>
  <si>
    <t>13D2010013</t>
  </si>
  <si>
    <t>13D2010019</t>
  </si>
  <si>
    <t>13D2010025</t>
  </si>
  <si>
    <t>Đỗ Trương</t>
  </si>
  <si>
    <t>Nguyễn Phương</t>
  </si>
  <si>
    <t>13D2010035</t>
  </si>
  <si>
    <t>13D2010037</t>
  </si>
  <si>
    <t>12.07.94</t>
  </si>
  <si>
    <t>13D2010267</t>
  </si>
  <si>
    <t>Nguyễn Đăng</t>
  </si>
  <si>
    <t>20.05.91</t>
  </si>
  <si>
    <t>13D2010043</t>
  </si>
  <si>
    <t>Được</t>
  </si>
  <si>
    <t>06.10.94</t>
  </si>
  <si>
    <t>13D2010047</t>
  </si>
  <si>
    <t>13D2010275</t>
  </si>
  <si>
    <t>06.09.94</t>
  </si>
  <si>
    <t>13D2010049</t>
  </si>
  <si>
    <t>Võ Ngọc</t>
  </si>
  <si>
    <t>24.02.95</t>
  </si>
  <si>
    <t>13D2010055</t>
  </si>
  <si>
    <t>13D2010061</t>
  </si>
  <si>
    <t>13.04.95</t>
  </si>
  <si>
    <t>13D2010067</t>
  </si>
  <si>
    <t>13D2010073</t>
  </si>
  <si>
    <t>Đỗ Thanh</t>
  </si>
  <si>
    <t>27.05.95</t>
  </si>
  <si>
    <t>13D2010079</t>
  </si>
  <si>
    <t>Nguyễn Phát</t>
  </si>
  <si>
    <t>25.05.94</t>
  </si>
  <si>
    <t>13D2010094</t>
  </si>
  <si>
    <t>Trương Thanh</t>
  </si>
  <si>
    <t>Kỳ</t>
  </si>
  <si>
    <t>26.11.95</t>
  </si>
  <si>
    <t>13D2010099</t>
  </si>
  <si>
    <t>Lương Tấn</t>
  </si>
  <si>
    <t>13D2010104</t>
  </si>
  <si>
    <t>23.08.95</t>
  </si>
  <si>
    <t>13D2010109</t>
  </si>
  <si>
    <t>Trần Duy</t>
  </si>
  <si>
    <t>Luận</t>
  </si>
  <si>
    <t>13D2010114</t>
  </si>
  <si>
    <t>11.02.94</t>
  </si>
  <si>
    <t>13D2010119</t>
  </si>
  <si>
    <t>13D2010124</t>
  </si>
  <si>
    <t>Võ Hoàng</t>
  </si>
  <si>
    <t>25.11.94</t>
  </si>
  <si>
    <t>13D2010129</t>
  </si>
  <si>
    <t>20.11.95</t>
  </si>
  <si>
    <t>13D2010139</t>
  </si>
  <si>
    <t xml:space="preserve">Đặng Nguyễn Hoài </t>
  </si>
  <si>
    <t>08.12.95</t>
  </si>
  <si>
    <t>13D2010144</t>
  </si>
  <si>
    <t>13D2010149</t>
  </si>
  <si>
    <t>13D2010154</t>
  </si>
  <si>
    <t>13D2010159</t>
  </si>
  <si>
    <t>Phan Ngọc</t>
  </si>
  <si>
    <t>13D2010164</t>
  </si>
  <si>
    <t>Dương Thiện</t>
  </si>
  <si>
    <t>06.12.95</t>
  </si>
  <si>
    <t>13D2010174</t>
  </si>
  <si>
    <t>13D2010219</t>
  </si>
  <si>
    <t xml:space="preserve">Huỳnh Quang </t>
  </si>
  <si>
    <t>13D2010189</t>
  </si>
  <si>
    <t>Mai Trọng</t>
  </si>
  <si>
    <t>Thăng</t>
  </si>
  <si>
    <t>13D2010199</t>
  </si>
  <si>
    <t>Đinh Xuân</t>
  </si>
  <si>
    <t>13D2010204</t>
  </si>
  <si>
    <t>05.10.95</t>
  </si>
  <si>
    <t>13D2010209</t>
  </si>
  <si>
    <t>22.01.94</t>
  </si>
  <si>
    <t>13D2010214</t>
  </si>
  <si>
    <t>Thuyên</t>
  </si>
  <si>
    <t>13D2010070</t>
  </si>
  <si>
    <t>13D2010224</t>
  </si>
  <si>
    <t>Trần Chánh</t>
  </si>
  <si>
    <t>06.04.95</t>
  </si>
  <si>
    <t>13D2010229</t>
  </si>
  <si>
    <t>09.07.95</t>
  </si>
  <si>
    <t>13D2010234</t>
  </si>
  <si>
    <t>15.08.94</t>
  </si>
  <si>
    <t>13D2010239</t>
  </si>
  <si>
    <t>13D2010244</t>
  </si>
  <si>
    <t>Bùi Huy</t>
  </si>
  <si>
    <t>13D2010249</t>
  </si>
  <si>
    <t>DT.Khơme</t>
  </si>
  <si>
    <t>13D2010254</t>
  </si>
  <si>
    <t>13D2010259</t>
  </si>
  <si>
    <t>Phan Thanh</t>
  </si>
  <si>
    <t>13.09.94</t>
  </si>
  <si>
    <t>13D2010002</t>
  </si>
  <si>
    <t>Bùi Thiên</t>
  </si>
  <si>
    <t>13CĐ-CK3</t>
  </si>
  <si>
    <t>13D2010014</t>
  </si>
  <si>
    <t>Trượng Ngọc</t>
  </si>
  <si>
    <t>21.04.94</t>
  </si>
  <si>
    <t>13D2010020</t>
  </si>
  <si>
    <t>25.07.94</t>
  </si>
  <si>
    <t>13D2010044</t>
  </si>
  <si>
    <t>Đỗ Xuân</t>
  </si>
  <si>
    <t>13D2010266</t>
  </si>
  <si>
    <t>14.03.95</t>
  </si>
  <si>
    <t>13D2010056</t>
  </si>
  <si>
    <t>13D2010271</t>
  </si>
  <si>
    <t>Lê Trần Trung</t>
  </si>
  <si>
    <t>13D2010060</t>
  </si>
  <si>
    <t>13D2010065</t>
  </si>
  <si>
    <t>Phạm Long</t>
  </si>
  <si>
    <t>13D2010083</t>
  </si>
  <si>
    <t>Võ Thiện</t>
  </si>
  <si>
    <t>13D2010068</t>
  </si>
  <si>
    <t>13D2010071</t>
  </si>
  <si>
    <t>01.12.95</t>
  </si>
  <si>
    <t>13D2010074</t>
  </si>
  <si>
    <t>Lê Thế</t>
  </si>
  <si>
    <t>13D2010077</t>
  </si>
  <si>
    <t>Nguyễn Phước</t>
  </si>
  <si>
    <t>05.05.94</t>
  </si>
  <si>
    <t>13D2010283</t>
  </si>
  <si>
    <t>Ngô Quý</t>
  </si>
  <si>
    <t>13D2010080</t>
  </si>
  <si>
    <t>Đỗ Linh</t>
  </si>
  <si>
    <t>13D2010085</t>
  </si>
  <si>
    <t>Lê Quốc</t>
  </si>
  <si>
    <t>02.09.94</t>
  </si>
  <si>
    <t>Kiếm</t>
  </si>
  <si>
    <t>13D2010095</t>
  </si>
  <si>
    <t>Võ Quý</t>
  </si>
  <si>
    <t>29.10.95</t>
  </si>
  <si>
    <t>13D2010100</t>
  </si>
  <si>
    <t>13D2010115</t>
  </si>
  <si>
    <t>13D2010120</t>
  </si>
  <si>
    <t>Bế Ngọc Hoàng</t>
  </si>
  <si>
    <t>29.03.95</t>
  </si>
  <si>
    <t>13D2010130</t>
  </si>
  <si>
    <t>Phan Hữu</t>
  </si>
  <si>
    <t>13D2010140</t>
  </si>
  <si>
    <t>04.06.94</t>
  </si>
  <si>
    <t>13D2010145</t>
  </si>
  <si>
    <t>Phạm Huỳnh Nga</t>
  </si>
  <si>
    <t>13D2010150</t>
  </si>
  <si>
    <t>13D2010160</t>
  </si>
  <si>
    <t>13D2010165</t>
  </si>
  <si>
    <t>13D2010170</t>
  </si>
  <si>
    <t>Cáp Minh</t>
  </si>
  <si>
    <t>13D2010175</t>
  </si>
  <si>
    <t>Đoàn</t>
  </si>
  <si>
    <t>Sĩ</t>
  </si>
  <si>
    <t>11.11.94</t>
  </si>
  <si>
    <t>13D2010185</t>
  </si>
  <si>
    <t>Lê Kim</t>
  </si>
  <si>
    <t>18.02.94</t>
  </si>
  <si>
    <t>13D2010190</t>
  </si>
  <si>
    <t>27.07.94</t>
  </si>
  <si>
    <t>13D2010195</t>
  </si>
  <si>
    <t>Nguyễn Văn Chí</t>
  </si>
  <si>
    <t>13D2010200</t>
  </si>
  <si>
    <t>13D2010205</t>
  </si>
  <si>
    <t>13D2010210</t>
  </si>
  <si>
    <t>Đào Minh</t>
  </si>
  <si>
    <t>07.04.94</t>
  </si>
  <si>
    <t>13D2010215</t>
  </si>
  <si>
    <t>Bùi Xuân</t>
  </si>
  <si>
    <t>13D2010230</t>
  </si>
  <si>
    <t>13D2010240</t>
  </si>
  <si>
    <t>13D2010245</t>
  </si>
  <si>
    <t>15.11.94</t>
  </si>
  <si>
    <t>13D2010250</t>
  </si>
  <si>
    <t>Tương</t>
  </si>
  <si>
    <t>10.09.95</t>
  </si>
  <si>
    <t>13D2010255</t>
  </si>
  <si>
    <t>22.07.94</t>
  </si>
  <si>
    <t>13D2010260</t>
  </si>
  <si>
    <t xml:space="preserve">Từ Quang </t>
  </si>
  <si>
    <t>13D2010003</t>
  </si>
  <si>
    <t>28.12.95</t>
  </si>
  <si>
    <t>13CĐ-CK4</t>
  </si>
  <si>
    <t>13D2010009</t>
  </si>
  <si>
    <t>13D2010018</t>
  </si>
  <si>
    <t>13D2010033</t>
  </si>
  <si>
    <t>20.08.94</t>
  </si>
  <si>
    <t>13D2010045</t>
  </si>
  <si>
    <t>Gin</t>
  </si>
  <si>
    <t>13D2010293</t>
  </si>
  <si>
    <t xml:space="preserve">Lê Tiến </t>
  </si>
  <si>
    <t>08.08.91</t>
  </si>
  <si>
    <t>13D2010051</t>
  </si>
  <si>
    <t>10.04.95</t>
  </si>
  <si>
    <t>13D2010057</t>
  </si>
  <si>
    <t>Hiến</t>
  </si>
  <si>
    <t>13D2010063</t>
  </si>
  <si>
    <t>13D2010264</t>
  </si>
  <si>
    <t xml:space="preserve">Phan Đình </t>
  </si>
  <si>
    <t>10.08.93</t>
  </si>
  <si>
    <t>13D2010081</t>
  </si>
  <si>
    <t>13D2010086</t>
  </si>
  <si>
    <t>Nguyễn Đan</t>
  </si>
  <si>
    <t>13D2010091</t>
  </si>
  <si>
    <t>Nguyễn Sỹ</t>
  </si>
  <si>
    <t>13D2010096</t>
  </si>
  <si>
    <t>Lắm</t>
  </si>
  <si>
    <t>13D2010101</t>
  </si>
  <si>
    <t>13D2010116</t>
  </si>
  <si>
    <t>Thái Hồng</t>
  </si>
  <si>
    <t>03.02.94</t>
  </si>
  <si>
    <t>Mẹ DT.JaRai</t>
  </si>
  <si>
    <t>13D2010121</t>
  </si>
  <si>
    <t>Châu Hoài</t>
  </si>
  <si>
    <t>29.11.94</t>
  </si>
  <si>
    <t>13D2010126</t>
  </si>
  <si>
    <t>13D2010131</t>
  </si>
  <si>
    <t>13D2010133</t>
  </si>
  <si>
    <t>20.02.92</t>
  </si>
  <si>
    <t>13D2010141</t>
  </si>
  <si>
    <t xml:space="preserve">Đặng Xuân </t>
  </si>
  <si>
    <t>13D2010156</t>
  </si>
  <si>
    <t>Phục</t>
  </si>
  <si>
    <t>13D2010161</t>
  </si>
  <si>
    <t>06.03.95</t>
  </si>
  <si>
    <t>13D2010286</t>
  </si>
  <si>
    <t>03.09.94</t>
  </si>
  <si>
    <t>13D2010176</t>
  </si>
  <si>
    <t>Ngô Đình Thái</t>
  </si>
  <si>
    <t>13D2010181</t>
  </si>
  <si>
    <t>06.11.94</t>
  </si>
  <si>
    <t>13D2010288</t>
  </si>
  <si>
    <t>Nguyễn Quí</t>
  </si>
  <si>
    <t>13D2010289</t>
  </si>
  <si>
    <t>21.05.93</t>
  </si>
  <si>
    <t>13D2010186</t>
  </si>
  <si>
    <t>13D2010294</t>
  </si>
  <si>
    <t>Tôn Đức</t>
  </si>
  <si>
    <t>03.10.94</t>
  </si>
  <si>
    <t>13D2010191</t>
  </si>
  <si>
    <t>Ngô Hoàng</t>
  </si>
  <si>
    <t>30.05.95</t>
  </si>
  <si>
    <t>13D2010196</t>
  </si>
  <si>
    <t>Phùng Hữu</t>
  </si>
  <si>
    <t>13D2010201</t>
  </si>
  <si>
    <t>Thiệu</t>
  </si>
  <si>
    <t>10.11.95</t>
  </si>
  <si>
    <t>13D2010206</t>
  </si>
  <si>
    <t>Thơm</t>
  </si>
  <si>
    <t>13D2010216</t>
  </si>
  <si>
    <t>24.11.94</t>
  </si>
  <si>
    <t>13D2010226</t>
  </si>
  <si>
    <t>28.08.94</t>
  </si>
  <si>
    <t>13D2010231</t>
  </si>
  <si>
    <t>Trịnh Minh</t>
  </si>
  <si>
    <t>30.01.95</t>
  </si>
  <si>
    <t>13D2010236</t>
  </si>
  <si>
    <t>13D2010248</t>
  </si>
  <si>
    <t>13D2010256</t>
  </si>
  <si>
    <t>Trần Văn Đại</t>
  </si>
  <si>
    <t>13D2010261</t>
  </si>
  <si>
    <t>13D2010016</t>
  </si>
  <si>
    <t>Lê Hữu</t>
  </si>
  <si>
    <t>07.06.95</t>
  </si>
  <si>
    <t>13CĐ-CK5</t>
  </si>
  <si>
    <t>13D2010022</t>
  </si>
  <si>
    <t>13D2010024</t>
  </si>
  <si>
    <t>13D2010028</t>
  </si>
  <si>
    <t>30.04.95</t>
  </si>
  <si>
    <t>13D2010034</t>
  </si>
  <si>
    <t>Mai Công</t>
  </si>
  <si>
    <t>25.06.94</t>
  </si>
  <si>
    <t>13D2010040</t>
  </si>
  <si>
    <t>Nguyễn Hòai</t>
  </si>
  <si>
    <t>13D2010046</t>
  </si>
  <si>
    <t>Lê Phúc</t>
  </si>
  <si>
    <t>15.06.95</t>
  </si>
  <si>
    <t>13D2010058</t>
  </si>
  <si>
    <t>Mai Xuân</t>
  </si>
  <si>
    <t>12.03.95</t>
  </si>
  <si>
    <t>13D2010064</t>
  </si>
  <si>
    <t>13D2010078</t>
  </si>
  <si>
    <t>21.08.94</t>
  </si>
  <si>
    <t>13D2010082</t>
  </si>
  <si>
    <t>13D2010087</t>
  </si>
  <si>
    <t>30.09.93</t>
  </si>
  <si>
    <t>13D2010102</t>
  </si>
  <si>
    <t>Phan Quang</t>
  </si>
  <si>
    <t>10.03.94</t>
  </si>
  <si>
    <t>13D2010107</t>
  </si>
  <si>
    <t>Nghiêm Bảo</t>
  </si>
  <si>
    <t>28.08.95</t>
  </si>
  <si>
    <t>13D2010112</t>
  </si>
  <si>
    <t>13D2010117</t>
  </si>
  <si>
    <t>Đoàn Thanh</t>
  </si>
  <si>
    <t>13D2010122</t>
  </si>
  <si>
    <t>Hoàng Sỹ</t>
  </si>
  <si>
    <t>02.03.95</t>
  </si>
  <si>
    <t>13D2010127</t>
  </si>
  <si>
    <t>DO AN</t>
  </si>
  <si>
    <t>TỔNG LT</t>
  </si>
  <si>
    <t xml:space="preserve">LÝ
THUYẾT </t>
  </si>
  <si>
    <t xml:space="preserve">THỰC
HÀNH </t>
  </si>
  <si>
    <t>13D2010147</t>
  </si>
  <si>
    <t>Hán Văn</t>
  </si>
  <si>
    <t>13D2010157</t>
  </si>
  <si>
    <t>Đỗ Hữu</t>
  </si>
  <si>
    <t>17.09.94</t>
  </si>
  <si>
    <t>13D2010292</t>
  </si>
  <si>
    <t>Cát Văn</t>
  </si>
  <si>
    <t>13D2010162</t>
  </si>
  <si>
    <t>13D2010167</t>
  </si>
  <si>
    <t>13D2010177</t>
  </si>
  <si>
    <t>13D2010182</t>
  </si>
  <si>
    <t>13D2010187</t>
  </si>
  <si>
    <t>13D2010198</t>
  </si>
  <si>
    <t>Trương Nhật</t>
  </si>
  <si>
    <t>13D2010268</t>
  </si>
  <si>
    <t>21.07.95</t>
  </si>
  <si>
    <t>13D2010202</t>
  </si>
  <si>
    <t>02.08.94</t>
  </si>
  <si>
    <t>13D2010207</t>
  </si>
  <si>
    <t>Nguyễn Trí</t>
  </si>
  <si>
    <t>13D2010265</t>
  </si>
  <si>
    <t>26.06.95</t>
  </si>
  <si>
    <t>13D2010212</t>
  </si>
  <si>
    <t>Nguyễn Tự Trường</t>
  </si>
  <si>
    <t>06.11.93</t>
  </si>
  <si>
    <t>13D2010222</t>
  </si>
  <si>
    <t>Tiệp</t>
  </si>
  <si>
    <t>17.05.95</t>
  </si>
  <si>
    <t>13D2010291</t>
  </si>
  <si>
    <t>20.05.93</t>
  </si>
  <si>
    <t>13D2010278</t>
  </si>
  <si>
    <t>Trần Lê Bảo</t>
  </si>
  <si>
    <t>13D2010269</t>
  </si>
  <si>
    <t>Chế Quang</t>
  </si>
  <si>
    <t>05.11.94</t>
  </si>
  <si>
    <t>13D2010232</t>
  </si>
  <si>
    <t>13D2010242</t>
  </si>
  <si>
    <t>13.10.94</t>
  </si>
  <si>
    <t>13D2010247</t>
  </si>
  <si>
    <t>Tạ Phương</t>
  </si>
  <si>
    <t>13D2010039</t>
  </si>
  <si>
    <t>Hoàng Kim</t>
  </si>
  <si>
    <t>13D2010257</t>
  </si>
  <si>
    <t>Hồ Quang</t>
  </si>
  <si>
    <t>13D2010262</t>
  </si>
  <si>
    <t>Nguyễn Trần Tuấn</t>
  </si>
  <si>
    <t>13D2010281</t>
  </si>
  <si>
    <t xml:space="preserve">Nguyễn Đình </t>
  </si>
  <si>
    <t>23.01.95</t>
  </si>
  <si>
    <t>13D2050006</t>
  </si>
  <si>
    <t>Lê Vạn</t>
  </si>
  <si>
    <t>13CĐ-Ô1</t>
  </si>
  <si>
    <t>13D2050008</t>
  </si>
  <si>
    <t>Ngô Xuân</t>
  </si>
  <si>
    <t>18.02.93</t>
  </si>
  <si>
    <t>Ô3</t>
  </si>
  <si>
    <t>13D2050011</t>
  </si>
  <si>
    <t>Đặng Minh</t>
  </si>
  <si>
    <t>13D2050013</t>
  </si>
  <si>
    <t>Nguyễn Mạnh</t>
  </si>
  <si>
    <t>07.05.95</t>
  </si>
  <si>
    <t>13D2050023</t>
  </si>
  <si>
    <t>Võ Đại</t>
  </si>
  <si>
    <t>13D2050031</t>
  </si>
  <si>
    <t>Lê Vũ</t>
  </si>
  <si>
    <t>08.08.93</t>
  </si>
  <si>
    <t>13D2050041</t>
  </si>
  <si>
    <t>12.02.94</t>
  </si>
  <si>
    <t>13D2050046</t>
  </si>
  <si>
    <t>13D2050058</t>
  </si>
  <si>
    <t>13D2050307</t>
  </si>
  <si>
    <t>11.03.95</t>
  </si>
  <si>
    <t>13D2050068</t>
  </si>
  <si>
    <t>Giáp Văn</t>
  </si>
  <si>
    <t>10.09.94</t>
  </si>
  <si>
    <t>13D2050306</t>
  </si>
  <si>
    <t xml:space="preserve">Trần Ngọc </t>
  </si>
  <si>
    <t>21.02.94</t>
  </si>
  <si>
    <t>13D2050290</t>
  </si>
  <si>
    <t>13D2050073</t>
  </si>
  <si>
    <t>13D2050295</t>
  </si>
  <si>
    <t>Trịnh Đức</t>
  </si>
  <si>
    <t>13D2050081</t>
  </si>
  <si>
    <t>Bùi Quang</t>
  </si>
  <si>
    <t>13D2050086</t>
  </si>
  <si>
    <t>13D2050091</t>
  </si>
  <si>
    <t>Nguyễn Dương</t>
  </si>
  <si>
    <t>24.09.95</t>
  </si>
  <si>
    <t>13D2050101</t>
  </si>
  <si>
    <t>20.07.93</t>
  </si>
  <si>
    <t>13D2050276</t>
  </si>
  <si>
    <t>13D2050103</t>
  </si>
  <si>
    <t xml:space="preserve">Đinh Hoàng </t>
  </si>
  <si>
    <t>13D2050108</t>
  </si>
  <si>
    <t>13D2050110</t>
  </si>
  <si>
    <t>14.06.95</t>
  </si>
  <si>
    <t>13D2050111</t>
  </si>
  <si>
    <t>Vòng Văn</t>
  </si>
  <si>
    <t>04.03.93</t>
  </si>
  <si>
    <t>13D2050266</t>
  </si>
  <si>
    <t>13D2050141</t>
  </si>
  <si>
    <t>Nhứt</t>
  </si>
  <si>
    <t>13D2050151</t>
  </si>
  <si>
    <t>Mai Hữu</t>
  </si>
  <si>
    <t>13D2050156</t>
  </si>
  <si>
    <t>13D2050161</t>
  </si>
  <si>
    <t>13D2050166</t>
  </si>
  <si>
    <t>12.11.95</t>
  </si>
  <si>
    <t>13D2050171</t>
  </si>
  <si>
    <t>13D2050181</t>
  </si>
  <si>
    <t>Trần Việt</t>
  </si>
  <si>
    <t>13D2050201</t>
  </si>
  <si>
    <t>Trần Kim</t>
  </si>
  <si>
    <t>13D2050202</t>
  </si>
  <si>
    <t>13D2050211</t>
  </si>
  <si>
    <t>13D2050216</t>
  </si>
  <si>
    <t>Lương Văn</t>
  </si>
  <si>
    <t>13D2050221</t>
  </si>
  <si>
    <t>Nguyễn Hữu Minh</t>
  </si>
  <si>
    <t>12D2050084</t>
  </si>
  <si>
    <t>01.09.94</t>
  </si>
  <si>
    <t>13D2050286</t>
  </si>
  <si>
    <t>13D2050226</t>
  </si>
  <si>
    <t>13D2050236</t>
  </si>
  <si>
    <t>Hà Anh</t>
  </si>
  <si>
    <t>13D2050241</t>
  </si>
  <si>
    <t>24.03.95</t>
  </si>
  <si>
    <t>13D2050288</t>
  </si>
  <si>
    <t>Phan Đoàn Anh</t>
  </si>
  <si>
    <t>07.08.94</t>
  </si>
  <si>
    <t>13D2050275</t>
  </si>
  <si>
    <t>13D2050251</t>
  </si>
  <si>
    <t>13D2050002</t>
  </si>
  <si>
    <t>Hồ Tuấn</t>
  </si>
  <si>
    <t>10.08.94</t>
  </si>
  <si>
    <t>13CĐ-Ô2</t>
  </si>
  <si>
    <t>13D2050293</t>
  </si>
  <si>
    <t>Đặng Trần Hoàng</t>
  </si>
  <si>
    <t>13D2050007</t>
  </si>
  <si>
    <t>04.10.93</t>
  </si>
  <si>
    <t>13D2050294</t>
  </si>
  <si>
    <t xml:space="preserve">Nguyễn Đình Quốc </t>
  </si>
  <si>
    <t>17.10.95</t>
  </si>
  <si>
    <t>13D2050017</t>
  </si>
  <si>
    <t>Dân</t>
  </si>
  <si>
    <t>13D2050022</t>
  </si>
  <si>
    <t>Lê Triều</t>
  </si>
  <si>
    <t>13D2050027</t>
  </si>
  <si>
    <t>Tạ Quốc</t>
  </si>
  <si>
    <t>13D2050032</t>
  </si>
  <si>
    <t>13D2050042</t>
  </si>
  <si>
    <t>13D2050052</t>
  </si>
  <si>
    <t>Trần Trọng</t>
  </si>
  <si>
    <t>13D2050062</t>
  </si>
  <si>
    <t>Lư Trung</t>
  </si>
  <si>
    <t>13D2050304</t>
  </si>
  <si>
    <t>13D2050067</t>
  </si>
  <si>
    <t>Trần Nguyên</t>
  </si>
  <si>
    <t>19.10.94</t>
  </si>
  <si>
    <t>13D2050072</t>
  </si>
  <si>
    <t>13D2050077</t>
  </si>
  <si>
    <t xml:space="preserve">Lê Văn </t>
  </si>
  <si>
    <t>13D2050083</t>
  </si>
  <si>
    <t>Lê Ngọc</t>
  </si>
  <si>
    <t>05.04.92</t>
  </si>
  <si>
    <t>13D2050087</t>
  </si>
  <si>
    <t>Trần Mạnh</t>
  </si>
  <si>
    <t>13D2050088</t>
  </si>
  <si>
    <t>Trịnh Tấn</t>
  </si>
  <si>
    <t>15.05.95</t>
  </si>
  <si>
    <t>13D2050092</t>
  </si>
  <si>
    <t xml:space="preserve">Làu Nhục </t>
  </si>
  <si>
    <t>Khền</t>
  </si>
  <si>
    <t>05.02.94</t>
  </si>
  <si>
    <t>13D2050093</t>
  </si>
  <si>
    <t>08.10.95</t>
  </si>
  <si>
    <t>13D2050112</t>
  </si>
  <si>
    <t>03.05.94</t>
  </si>
  <si>
    <t>13D2050122</t>
  </si>
  <si>
    <t>Phan Vĩnh</t>
  </si>
  <si>
    <t>Ngà</t>
  </si>
  <si>
    <t>10.01.92</t>
  </si>
  <si>
    <t>13D2050147</t>
  </si>
  <si>
    <t>Nguyễn Dương Hoàng</t>
  </si>
  <si>
    <t>13D2050152</t>
  </si>
  <si>
    <t>13D2050157</t>
  </si>
  <si>
    <t>Chế Vinh</t>
  </si>
  <si>
    <t>13D2050283</t>
  </si>
  <si>
    <t>Bùi Ngọc</t>
  </si>
  <si>
    <t>19.09.94</t>
  </si>
  <si>
    <t>13D2050167</t>
  </si>
  <si>
    <t>02.05.93</t>
  </si>
  <si>
    <t>13D2050172</t>
  </si>
  <si>
    <t>Phùng Văn</t>
  </si>
  <si>
    <t>13D2050177</t>
  </si>
  <si>
    <t>13D2050187</t>
  </si>
  <si>
    <t>13D2050191</t>
  </si>
  <si>
    <t>13D2050197</t>
  </si>
  <si>
    <t>13D2050205</t>
  </si>
  <si>
    <t>13D2050206</t>
  </si>
  <si>
    <t>Thượng Công</t>
  </si>
  <si>
    <t>13D2050212</t>
  </si>
  <si>
    <t>13D2050217</t>
  </si>
  <si>
    <t>Nguyễn Đạo</t>
  </si>
  <si>
    <t>Tĩnh</t>
  </si>
  <si>
    <t>13D2050285</t>
  </si>
  <si>
    <t>13D2050222</t>
  </si>
  <si>
    <t>13D2050227</t>
  </si>
  <si>
    <t>Đoàn Quang</t>
  </si>
  <si>
    <t>18.02.95</t>
  </si>
  <si>
    <t>13D2050237</t>
  </si>
  <si>
    <t>Phạm Xuân</t>
  </si>
  <si>
    <t>15.05.93</t>
  </si>
  <si>
    <t>13D2050242</t>
  </si>
  <si>
    <t>Phạm Hoàng Anh</t>
  </si>
  <si>
    <t>26.09.94</t>
  </si>
  <si>
    <t>13D2050247</t>
  </si>
  <si>
    <t>13D2050262</t>
  </si>
  <si>
    <t>13D2050004</t>
  </si>
  <si>
    <t>Phạm Tuấn</t>
  </si>
  <si>
    <t>XL HP</t>
  </si>
  <si>
    <r>
      <t xml:space="preserve">Vào bảng tính "LT01, …, TH03" </t>
    </r>
    <r>
      <rPr>
        <b/>
        <sz val="13"/>
        <rFont val="Arial"/>
        <family val="2"/>
      </rPr>
      <t>tương ứng với học phần "LT01, …, TH03" quy định trong bước 3</t>
    </r>
  </si>
  <si>
    <r>
      <t>Tên học phần</t>
    </r>
    <r>
      <rPr>
        <sz val="13"/>
        <rFont val="Arial"/>
        <family val="2"/>
      </rPr>
      <t xml:space="preserve"> và số </t>
    </r>
    <r>
      <rPr>
        <b/>
        <sz val="13"/>
        <rFont val="Arial"/>
        <family val="2"/>
      </rPr>
      <t>Đơn vị học trình</t>
    </r>
    <r>
      <rPr>
        <sz val="13"/>
        <rFont val="Arial"/>
        <family val="2"/>
      </rPr>
      <t xml:space="preserve"> đã được đưa vào các bảng tính tương ứng theo lớp, Quý Thầy Cô vào bảng tính này để biết học phần muốn nhập điểm nằm ở bảng tính nào.</t>
    </r>
  </si>
  <si>
    <r>
      <t xml:space="preserve">Coppy các điểm thành phần (từ cột E đến cột M)  từ bảng </t>
    </r>
    <r>
      <rPr>
        <b/>
        <sz val="13"/>
        <rFont val="Arial"/>
        <family val="2"/>
      </rPr>
      <t xml:space="preserve">điểm học phần </t>
    </r>
    <r>
      <rPr>
        <sz val="13"/>
        <rFont val="Arial"/>
        <family val="2"/>
      </rPr>
      <t>(được gửi kèm)</t>
    </r>
    <r>
      <rPr>
        <b/>
        <sz val="13"/>
        <rFont val="Arial"/>
        <family val="2"/>
      </rPr>
      <t xml:space="preserve"> </t>
    </r>
    <r>
      <rPr>
        <sz val="13"/>
        <rFont val="Arial"/>
        <family val="2"/>
      </rPr>
      <t>vào từng cột tương ứng trong các sheet LT01, … , TH01, … trong bảng tính này</t>
    </r>
  </si>
  <si>
    <r>
      <t>Ghi chú:</t>
    </r>
    <r>
      <rPr>
        <sz val="13"/>
        <rFont val="Arial"/>
        <family val="2"/>
      </rPr>
      <t xml:space="preserve"> Thứ tự danh sách trong các bảng tính đã thống nhất, do đó bắt buộc đảm bảo độ chính xác </t>
    </r>
    <r>
      <rPr>
        <b/>
        <i/>
        <sz val="13"/>
        <rFont val="Arial"/>
        <family val="2"/>
      </rPr>
      <t>giữa các điểm thành phần với MSSV tương ứng</t>
    </r>
    <r>
      <rPr>
        <sz val="13"/>
        <rFont val="Arial"/>
        <family val="2"/>
      </rPr>
      <t>. Nên kiểm tra lại sự thống nhất danh sách trong sổ tay giảng viên và danh sách trong file để tránh nhập điểm sai.</t>
    </r>
  </si>
  <si>
    <t>13 CĐ-CK 
1, 2, 3, 4</t>
  </si>
  <si>
    <t>DO AN 2</t>
  </si>
  <si>
    <t>13 CĐ-Ô 
1, 2, 3</t>
  </si>
  <si>
    <t>13 CĐ-NL 
1</t>
  </si>
  <si>
    <t>Đường lối CM của Đảng cộng sản VN</t>
  </si>
  <si>
    <t>Điều khiển lập trình PLC 1</t>
  </si>
  <si>
    <t>Tự động hóa quá trình công nghệ</t>
  </si>
  <si>
    <t>Điện tử công nghiệp</t>
  </si>
  <si>
    <t>Hệ thống điều khiển tự động</t>
  </si>
  <si>
    <t>Thực tập Vi xử lý và PLC</t>
  </si>
  <si>
    <t>Thực tập Đo lường cảm biến</t>
  </si>
  <si>
    <t>Thực tập Điều khiển tự động</t>
  </si>
  <si>
    <t>Truyền động điện và ứng dụng</t>
  </si>
  <si>
    <t>Nhà máy điện và trạm biến áp</t>
  </si>
  <si>
    <t>Điện công nghiệp</t>
  </si>
  <si>
    <t>Thực tập Máy điện</t>
  </si>
  <si>
    <t>Kinh tế công nghiệp và quản trị chất lượng</t>
  </si>
  <si>
    <t>Truyền động thủy lực và khí nén trong CN</t>
  </si>
  <si>
    <t>Công nghệ CNC</t>
  </si>
  <si>
    <t>Công nghệ CAD/CAM</t>
  </si>
  <si>
    <t>Đồ án tính toán thiết kế hệ dẫn động cơ khí</t>
  </si>
  <si>
    <t>Đồ án công nghệ chế tạo máy</t>
  </si>
  <si>
    <t>Nguyên lý cắt kim loại</t>
  </si>
  <si>
    <t>Đồ gá</t>
  </si>
  <si>
    <t>Thực tập Phay 1</t>
  </si>
  <si>
    <t>Ôtô</t>
  </si>
  <si>
    <t>Công nghệ bảo dưỡng và sửa chữa ôtô</t>
  </si>
  <si>
    <t>Thực tập Động cơ 2</t>
  </si>
  <si>
    <t>Thực tập Diesel</t>
  </si>
  <si>
    <t>Thực tập Điện Ôtô 1</t>
  </si>
  <si>
    <t>Đồ án môn học chi tiết máy</t>
  </si>
  <si>
    <t>Thiết bị đo và tự động điều khiển</t>
  </si>
  <si>
    <t>Lò hơi công nghiệp</t>
  </si>
  <si>
    <t>Thiết kế lắp đặt trạm lạnh</t>
  </si>
  <si>
    <t>Vận hành bảo dưỡng và sửa chữa HTL</t>
  </si>
  <si>
    <t>Kỹ thuật thông gió và hút bụi</t>
  </si>
  <si>
    <t>Thực tập Sửa chữa thiết bị lạnh dân dụng</t>
  </si>
  <si>
    <t>Thực tập Kỹ thuật điều hòa không khí</t>
  </si>
  <si>
    <t>Quản lý chất lượng trang phục</t>
  </si>
  <si>
    <t>Tổ chức và quản lý may công nghiệp</t>
  </si>
  <si>
    <t>Quản lý đơn hàng</t>
  </si>
  <si>
    <t>Đồ án Thiết kế trang phục</t>
  </si>
  <si>
    <t>Thực tập May trang phục 3</t>
  </si>
  <si>
    <t>Thực tập Tin học ứng dụng ngành may</t>
  </si>
  <si>
    <t>Thiết kế thời trang trên máy tính</t>
  </si>
  <si>
    <t>Kỹ năng giao tiếp</t>
  </si>
  <si>
    <t>Lý thuyết đồ thị</t>
  </si>
  <si>
    <t>Lập trình cơ sở dữ liệu</t>
  </si>
  <si>
    <t>Lập trình PHP</t>
  </si>
  <si>
    <t>Phương pháp nghiên cứu khoa học</t>
  </si>
  <si>
    <t>Thiết kế Web</t>
  </si>
  <si>
    <t>Mạng Linux 1</t>
  </si>
  <si>
    <t>Mạng nâng cao</t>
  </si>
  <si>
    <r>
      <t xml:space="preserve">Vào bảng tính </t>
    </r>
    <r>
      <rPr>
        <b/>
        <sz val="13"/>
        <color indexed="17"/>
        <rFont val="Arial"/>
        <family val="2"/>
      </rPr>
      <t>DS LOP HKI</t>
    </r>
  </si>
  <si>
    <t>12D3010147</t>
  </si>
  <si>
    <t>Phan Huỳnh Hoài</t>
  </si>
  <si>
    <t>28.05.94</t>
  </si>
  <si>
    <t>TNH.12CĐ-ĐT3</t>
  </si>
  <si>
    <t>12D3010179</t>
  </si>
  <si>
    <t xml:space="preserve">Hà Trọng  </t>
  </si>
  <si>
    <t>Xá</t>
  </si>
  <si>
    <t>BL12CĐ-ĐT3</t>
  </si>
  <si>
    <t>12D3010023</t>
  </si>
  <si>
    <t xml:space="preserve">Phan Công  </t>
  </si>
  <si>
    <t>12D3010035</t>
  </si>
  <si>
    <t>12D3010059</t>
  </si>
  <si>
    <t>Trương Quang</t>
  </si>
  <si>
    <t>17.11.93</t>
  </si>
  <si>
    <t>HP2</t>
  </si>
  <si>
    <t>12D3010115</t>
  </si>
  <si>
    <t>15.01.94</t>
  </si>
  <si>
    <t>12D3010168</t>
  </si>
  <si>
    <t>Trịnh Đình</t>
  </si>
  <si>
    <t>04.06.93</t>
  </si>
  <si>
    <t>ĐT4-TNH.12CĐ-ĐT3</t>
  </si>
  <si>
    <t>12D301Đ085</t>
  </si>
  <si>
    <t xml:space="preserve">Nguyễn Đình  </t>
  </si>
  <si>
    <t>12.10.94</t>
  </si>
  <si>
    <t>TNH.12CĐ-Đ1</t>
  </si>
  <si>
    <t>12D301Đ104</t>
  </si>
  <si>
    <t>Võ Tiến</t>
  </si>
  <si>
    <t>04.11.93</t>
  </si>
  <si>
    <t>Đ2-Đ4</t>
  </si>
  <si>
    <t>12D301Đ080</t>
  </si>
  <si>
    <t>17.05.94</t>
  </si>
  <si>
    <t>BTH.12CĐ-Đ2</t>
  </si>
  <si>
    <t>NL2</t>
  </si>
  <si>
    <t>NL2-con TB 2/4</t>
  </si>
  <si>
    <t>CK6-DT.Hoa</t>
  </si>
  <si>
    <t>CK5</t>
  </si>
  <si>
    <t>12D2010163</t>
  </si>
  <si>
    <t xml:space="preserve">Hồ Hoàng  </t>
  </si>
  <si>
    <t>CK4-TNH12CĐ-CK1</t>
  </si>
  <si>
    <t>12D2010068</t>
  </si>
  <si>
    <t xml:space="preserve">Trần Thế  </t>
  </si>
  <si>
    <t>11.07.94</t>
  </si>
  <si>
    <t>CK4-Con TB 4/4-TNH.12CĐ-CK1</t>
  </si>
  <si>
    <t>BL.13CĐ-CK2</t>
  </si>
  <si>
    <t>CK5-DT.Chăm</t>
  </si>
  <si>
    <t>12D2010126</t>
  </si>
  <si>
    <t>Bùi Chí</t>
  </si>
  <si>
    <t>TNH.12CĐ-CK3</t>
  </si>
  <si>
    <t>CK6-CK5</t>
  </si>
  <si>
    <t>12D2010170</t>
  </si>
  <si>
    <t xml:space="preserve">Nguyễn Minh  </t>
  </si>
  <si>
    <t>21.08.93</t>
  </si>
  <si>
    <t>CK4-TNH.12CĐ-CK3</t>
  </si>
  <si>
    <t>12D2010185</t>
  </si>
  <si>
    <t>TNH.12CĐ-CK2</t>
  </si>
  <si>
    <t>12D2010101</t>
  </si>
  <si>
    <t>Trương Hoài</t>
  </si>
  <si>
    <t>27.10.93</t>
  </si>
  <si>
    <t>TNH.12CĐ-CK1</t>
  </si>
  <si>
    <t>CK6_CK5</t>
  </si>
  <si>
    <t>Ô2</t>
  </si>
  <si>
    <t>Ô2-con TB 4/4</t>
  </si>
  <si>
    <t>Ô4-Ô3</t>
  </si>
  <si>
    <t>Ô3-Ô2</t>
  </si>
  <si>
    <t>Ô2-DT.Hoa</t>
  </si>
  <si>
    <t>Ô3-BĐXN.ĐV.DT.Khơme*</t>
  </si>
  <si>
    <t>Ô5-Ô4</t>
  </si>
  <si>
    <t>Ô3-Ô4</t>
  </si>
  <si>
    <t>Ô5_Ô4</t>
  </si>
  <si>
    <t>Ô1-Ô4</t>
  </si>
  <si>
    <t>TP2</t>
  </si>
  <si>
    <t>TP3-DT.Hoa</t>
  </si>
  <si>
    <t>11D0050010</t>
  </si>
  <si>
    <t>TNHL2.12CĐ-TM1</t>
  </si>
  <si>
    <t>11D0050024</t>
  </si>
  <si>
    <t>Nguyễn Hoàng Minh</t>
  </si>
  <si>
    <t>29.07.93</t>
  </si>
  <si>
    <t>12D201M038</t>
  </si>
  <si>
    <t>TM2-TNH.12CĐ-TM1</t>
  </si>
  <si>
    <t>DS ngày 11/10/2015</t>
  </si>
  <si>
    <t>TRƯỜNG CAO ĐẲNG KỸ THUẬT 
LÝ TỰ TRỌNG TP. HỒ CHÍ MINH</t>
  </si>
  <si>
    <t>UBND THÀNH PHỐ HỒ CHÍ MINH</t>
  </si>
  <si>
    <t>CỘNG HÒA XÃ HỘI CHỦ NGHĨA VIỆT NAM</t>
  </si>
  <si>
    <t>BẢNG TỔNG KẾT HỌC TẬP HỌC KỲ I NĂM HỌC 2015 - 2016</t>
  </si>
  <si>
    <t>Ngày             tháng          năm 2016</t>
  </si>
  <si>
    <t>Ngày             tháng           năm 2016</t>
  </si>
  <si>
    <t>I</t>
  </si>
  <si>
    <t xml:space="preserve"> 2015 - 2016</t>
  </si>
  <si>
    <t xml:space="preserve">UBND THÀNH PHỐ HỒ CHÍ MINH </t>
  </si>
  <si>
    <t>NĂM HỌC:  2015 - 2016</t>
  </si>
  <si>
    <t>2015-2016</t>
  </si>
  <si>
    <r>
      <t xml:space="preserve">Vào bảng tính </t>
    </r>
    <r>
      <rPr>
        <b/>
        <sz val="13"/>
        <color indexed="10"/>
        <rFont val="Arial"/>
        <family val="2"/>
      </rPr>
      <t>HKI</t>
    </r>
  </si>
  <si>
    <r>
      <t xml:space="preserve">Vào bảng tính </t>
    </r>
    <r>
      <rPr>
        <b/>
        <sz val="13"/>
        <rFont val="Arial"/>
        <family val="2"/>
      </rPr>
      <t>TEN HOC PHAN HKI</t>
    </r>
  </si>
  <si>
    <r>
      <t xml:space="preserve">Cột </t>
    </r>
    <r>
      <rPr>
        <b/>
        <sz val="13"/>
        <rFont val="Arial"/>
        <family val="2"/>
      </rPr>
      <t xml:space="preserve">GHI CHÚ </t>
    </r>
    <r>
      <rPr>
        <sz val="13"/>
        <rFont val="Arial"/>
        <family val="2"/>
      </rPr>
      <t>điền vào các thông tin về hình thức kỷ luật (nếu có)</t>
    </r>
  </si>
  <si>
    <r>
      <t>Ghi chú</t>
    </r>
    <r>
      <rPr>
        <sz val="13"/>
        <rFont val="Arial"/>
        <family val="2"/>
      </rPr>
      <t>: Trước khi thông báo kết quả học tập cho SV, xin quý Thầy Cô gửi file thông qua địa chỉ email của phòng (</t>
    </r>
    <r>
      <rPr>
        <b/>
        <sz val="13"/>
        <rFont val="Arial"/>
        <family val="2"/>
      </rPr>
      <t>kqht.lytutrong@gmail.com</t>
    </r>
    <r>
      <rPr>
        <sz val="13"/>
        <rFont val="Arial"/>
        <family val="2"/>
      </rPr>
      <t>) để kiểm tra, đối chiếu với các bảng điểm tổng kết học phần nhằm hạn chế sai sót. Nếu bảng tính có sai sót, phòng sẽ báo bằng email cho quý Thầy Cô.</t>
    </r>
  </si>
  <si>
    <r>
      <t xml:space="preserve">Nhập điểm kết quả rèn luyện vào cột </t>
    </r>
    <r>
      <rPr>
        <b/>
        <sz val="13"/>
        <rFont val="Arial"/>
        <family val="2"/>
      </rPr>
      <t>BF</t>
    </r>
  </si>
  <si>
    <r>
      <t xml:space="preserve">Khi muốn in bảng tổng kết, nên che giấu (ẩn) các vị trí cột (hàng) không có điểm bằng cách chọn các cột (hàng) đó, rồi click chuột phải </t>
    </r>
    <r>
      <rPr>
        <sz val="13"/>
        <rFont val="Times New Roman"/>
        <family val="1"/>
      </rPr>
      <t>→</t>
    </r>
    <r>
      <rPr>
        <sz val="13"/>
        <rFont val="Arial"/>
        <family val="2"/>
      </rPr>
      <t xml:space="preserve"> </t>
    </r>
    <r>
      <rPr>
        <b/>
        <sz val="13"/>
        <rFont val="Arial"/>
        <family val="2"/>
      </rPr>
      <t>Hide</t>
    </r>
  </si>
  <si>
    <r>
      <t xml:space="preserve">Để thống nhất trong việc quản lý điểm số của HSSV trong toàn trường, sau khi hoàn thành bảng tính, xin Quý Thầy Cô lưu lại file theo định dạng: </t>
    </r>
    <r>
      <rPr>
        <b/>
        <sz val="13"/>
        <rFont val="Arial"/>
        <family val="2"/>
      </rPr>
      <t>tenlop_hocky_nămhọc</t>
    </r>
    <r>
      <rPr>
        <sz val="13"/>
        <rFont val="Arial"/>
        <family val="2"/>
      </rPr>
      <t xml:space="preserve"> (ví dụ </t>
    </r>
    <r>
      <rPr>
        <b/>
        <sz val="13"/>
        <rFont val="Arial"/>
        <family val="2"/>
      </rPr>
      <t>13CD-NL1_HKI_15-16</t>
    </r>
    <r>
      <rPr>
        <sz val="13"/>
        <rFont val="Arial"/>
        <family val="2"/>
      </rPr>
      <t xml:space="preserve">) và gửi bằng email cho Khoa, Phòng TS-Đào tạo-GTVL : </t>
    </r>
    <r>
      <rPr>
        <b/>
        <sz val="13"/>
        <rFont val="Arial"/>
        <family val="2"/>
      </rPr>
      <t>kqht.lytutrong@gmail.com</t>
    </r>
    <r>
      <rPr>
        <sz val="13"/>
        <rFont val="Arial"/>
        <family val="2"/>
      </rPr>
      <t>.</t>
    </r>
  </si>
  <si>
    <r>
      <t xml:space="preserve">Các bảng tính: </t>
    </r>
    <r>
      <rPr>
        <b/>
        <sz val="13"/>
        <rFont val="Arial"/>
        <family val="2"/>
      </rPr>
      <t>TEN HOC PHAN HKI</t>
    </r>
    <r>
      <rPr>
        <sz val="13"/>
        <rFont val="Arial"/>
        <family val="2"/>
      </rPr>
      <t xml:space="preserve">; </t>
    </r>
    <r>
      <rPr>
        <b/>
        <sz val="13"/>
        <rFont val="Arial"/>
        <family val="2"/>
      </rPr>
      <t>LOP-MON</t>
    </r>
    <r>
      <rPr>
        <sz val="13"/>
        <rFont val="Arial"/>
        <family val="2"/>
      </rPr>
      <t xml:space="preserve">; </t>
    </r>
    <r>
      <rPr>
        <b/>
        <sz val="13"/>
        <rFont val="Arial"/>
        <family val="2"/>
      </rPr>
      <t>DS LOP HKI</t>
    </r>
    <r>
      <rPr>
        <sz val="13"/>
        <rFont val="Arial"/>
        <family val="2"/>
      </rPr>
      <t xml:space="preserve"> là các bảng tính nền cơ sở, xin quý Thầy Cô đừng chỉnh sửa, để tránh sai sót, nhầm lẫn trong quá trình nhập điểm tổng kết.</t>
    </r>
  </si>
  <si>
    <r>
      <t xml:space="preserve">Nếu Quý Thầy Cô có vướng mắc gì, xin gửi email qua địa chỉ: </t>
    </r>
    <r>
      <rPr>
        <b/>
        <sz val="13"/>
        <rFont val="Arial"/>
        <family val="2"/>
      </rPr>
      <t>kqht.lytutrong@gmail.com</t>
    </r>
    <r>
      <rPr>
        <sz val="13"/>
        <rFont val="Arial"/>
        <family val="2"/>
      </rPr>
      <t xml:space="preserve"> hoặc liên hệ trực tiếp với Phòng TS-Đào tạo-GTVL</t>
    </r>
  </si>
  <si>
    <t>nghỉ học</t>
  </si>
  <si>
    <t xml:space="preserve"> SV KHÁ</t>
  </si>
  <si>
    <t>SV GIỎI</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</si>
</sst>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43" formatCode="_(* #,##0.00_);_(* \(#,##0.00\);_(* &quot;-&quot;??_);_(@_)"/>
    <numFmt numFmtId="164" formatCode="0.0"/>
    <numFmt numFmtId="165" formatCode="_(* #,##0_);_(* \(#,##0\);_(* &quot;-&quot;??_);_(@_)"/>
    <numFmt numFmtId="166" formatCode="&quot;$&quot;#&quot;,&quot;##0_);[Red]\(&quot;$&quot;#&quot;,&quot;##0\)"/>
    <numFmt numFmtId="167" formatCode="_-&quot;$&quot;* #&quot;,&quot;##0_-;\-&quot;$&quot;* #&quot;,&quot;##0_-;_-&quot;$&quot;* &quot;-&quot;_-;_-@_-"/>
    <numFmt numFmtId="168" formatCode="_-* #&quot;,&quot;##0_-;\-* #&quot;,&quot;##0_-;_-* &quot;-&quot;_-;_-@_-"/>
    <numFmt numFmtId="169" formatCode="_-&quot;$&quot;* #&quot;,&quot;##0.00_-;\-&quot;$&quot;* #&quot;,&quot;##0.00_-;_-&quot;$&quot;* &quot;-&quot;??_-;_-@_-"/>
    <numFmt numFmtId="170" formatCode="00.000"/>
    <numFmt numFmtId="171" formatCode="&quot;￥&quot;#&quot;,&quot;##0;&quot;￥&quot;\-#&quot;,&quot;##0"/>
    <numFmt numFmtId="172" formatCode="#&quot;,&quot;##0\ &quot;DM&quot;;\-#&quot;,&quot;##0\ &quot;DM&quot;"/>
    <numFmt numFmtId="173" formatCode="0.000%"/>
    <numFmt numFmtId="174" formatCode="\$#,##0\ ;\(\$#,##0\)"/>
    <numFmt numFmtId="175" formatCode="#,##0.0"/>
  </numFmts>
  <fonts count="96">
    <font>
      <sz val="10"/>
      <name val="Arial"/>
    </font>
    <font>
      <sz val="10"/>
      <name val="Arial"/>
    </font>
    <font>
      <sz val="11"/>
      <name val="Times New Roman"/>
      <family val="1"/>
    </font>
    <font>
      <b/>
      <sz val="12"/>
      <name val="Times New Roman"/>
      <family val="1"/>
    </font>
    <font>
      <b/>
      <sz val="11"/>
      <name val="Times New Roman"/>
      <family val="1"/>
    </font>
    <font>
      <sz val="12"/>
      <name val="Times New Roman"/>
      <family val="1"/>
    </font>
    <font>
      <b/>
      <sz val="14"/>
      <color indexed="8"/>
      <name val="Times New Roman"/>
      <family val="1"/>
    </font>
    <font>
      <sz val="10"/>
      <name val="Times New Roman"/>
      <family val="1"/>
    </font>
    <font>
      <b/>
      <sz val="13"/>
      <color indexed="8"/>
      <name val="Times New Roman"/>
      <family val="1"/>
    </font>
    <font>
      <sz val="8"/>
      <name val="Arial"/>
    </font>
    <font>
      <b/>
      <sz val="10"/>
      <name val="Times New Roman"/>
      <family val="1"/>
    </font>
    <font>
      <sz val="10"/>
      <name val="vni-times"/>
    </font>
    <font>
      <b/>
      <sz val="11"/>
      <color indexed="8"/>
      <name val="Times New Roman"/>
      <family val="1"/>
    </font>
    <font>
      <b/>
      <sz val="9"/>
      <name val="Times New Roman"/>
      <family val="1"/>
    </font>
    <font>
      <b/>
      <sz val="14"/>
      <name val="Times New Roman"/>
      <family val="1"/>
    </font>
    <font>
      <sz val="14"/>
      <name val="Times New Roman"/>
      <family val="1"/>
    </font>
    <font>
      <b/>
      <i/>
      <sz val="14"/>
      <name val="Times New Roman"/>
      <family val="1"/>
    </font>
    <font>
      <sz val="13"/>
      <name val="Times New Roman"/>
      <family val="1"/>
    </font>
    <font>
      <sz val="12"/>
      <name val="Vni-times"/>
    </font>
    <font>
      <b/>
      <sz val="12"/>
      <color indexed="8"/>
      <name val="Times New Roman"/>
      <family val="1"/>
    </font>
    <font>
      <sz val="20"/>
      <name val="Arial"/>
    </font>
    <font>
      <b/>
      <sz val="13"/>
      <name val="Arial"/>
      <family val="2"/>
    </font>
    <font>
      <sz val="13"/>
      <name val="Arial"/>
      <family val="2"/>
    </font>
    <font>
      <sz val="14"/>
      <name val="Arial"/>
    </font>
    <font>
      <b/>
      <i/>
      <sz val="13"/>
      <name val="Arial"/>
      <family val="2"/>
    </font>
    <font>
      <sz val="13"/>
      <name val="Arial"/>
    </font>
    <font>
      <sz val="10"/>
      <name val="Arial"/>
      <family val="2"/>
    </font>
    <font>
      <b/>
      <sz val="12"/>
      <name val="Arial"/>
      <family val="2"/>
    </font>
    <font>
      <b/>
      <sz val="18"/>
      <name val="Arial"/>
      <family val="2"/>
    </font>
    <font>
      <b/>
      <sz val="14"/>
      <name val=".VnTimeH"/>
      <family val="2"/>
    </font>
    <font>
      <sz val="12"/>
      <name val="Arial"/>
      <family val="2"/>
    </font>
    <font>
      <sz val="14"/>
      <name val="뼻뮝"/>
      <family val="3"/>
    </font>
    <font>
      <sz val="12"/>
      <name val="바탕체"/>
      <family val="3"/>
    </font>
    <font>
      <sz val="12"/>
      <name val="뼻뮝"/>
      <family val="3"/>
    </font>
    <font>
      <b/>
      <sz val="9"/>
      <name val="Arial"/>
      <family val="2"/>
    </font>
    <font>
      <sz val="12"/>
      <name val="新細明體"/>
      <charset val="136"/>
    </font>
    <font>
      <sz val="12"/>
      <name val="Courier"/>
      <family val="3"/>
    </font>
    <font>
      <sz val="11"/>
      <name val="돋움"/>
      <family val="3"/>
    </font>
    <font>
      <sz val="10"/>
      <name val="굴림체"/>
      <family val="3"/>
    </font>
    <font>
      <sz val="10"/>
      <name val=" "/>
      <family val="1"/>
      <charset val="136"/>
    </font>
    <font>
      <sz val="12"/>
      <color indexed="8"/>
      <name val="Times New Roman"/>
      <family val="1"/>
    </font>
    <font>
      <i/>
      <sz val="14"/>
      <name val="Times New Roman"/>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sz val="11"/>
      <color indexed="10"/>
      <name val="Calibri"/>
      <family val="2"/>
    </font>
    <font>
      <b/>
      <sz val="24"/>
      <color indexed="8"/>
      <name val="Times New Roman"/>
      <family val="1"/>
    </font>
    <font>
      <sz val="24"/>
      <name val="Times New Roman"/>
      <family val="1"/>
    </font>
    <font>
      <sz val="16"/>
      <name val="Times New Roman"/>
      <family val="1"/>
    </font>
    <font>
      <sz val="12"/>
      <color indexed="10"/>
      <name val="Times New Roman"/>
      <family val="1"/>
    </font>
    <font>
      <b/>
      <sz val="13"/>
      <name val="Times New Roman"/>
      <family val="1"/>
    </font>
    <font>
      <b/>
      <sz val="12"/>
      <color indexed="10"/>
      <name val="Times New Roman"/>
      <family val="1"/>
    </font>
    <font>
      <sz val="10"/>
      <color indexed="10"/>
      <name val="Times New Roman"/>
      <family val="1"/>
    </font>
    <font>
      <sz val="11"/>
      <color indexed="10"/>
      <name val="Times New Roman"/>
      <family val="1"/>
    </font>
    <font>
      <sz val="8"/>
      <name val="VNI-Times"/>
    </font>
    <font>
      <b/>
      <sz val="11"/>
      <color indexed="10"/>
      <name val="Times New Roman"/>
      <family val="1"/>
    </font>
    <font>
      <u/>
      <sz val="10"/>
      <name val="Times New Roman"/>
      <family val="1"/>
    </font>
    <font>
      <sz val="16"/>
      <color indexed="10"/>
      <name val="Times New Roman"/>
      <family val="1"/>
    </font>
    <font>
      <b/>
      <sz val="14"/>
      <color indexed="10"/>
      <name val="Times New Roman"/>
      <family val="1"/>
    </font>
    <font>
      <b/>
      <sz val="13"/>
      <color indexed="14"/>
      <name val="Times New Roman"/>
      <family val="1"/>
    </font>
    <font>
      <b/>
      <sz val="14"/>
      <color indexed="12"/>
      <name val="Times New Roman"/>
      <family val="1"/>
    </font>
    <font>
      <b/>
      <sz val="14"/>
      <color indexed="61"/>
      <name val="Times New Roman"/>
      <family val="1"/>
    </font>
    <font>
      <b/>
      <sz val="14"/>
      <color indexed="52"/>
      <name val="Times New Roman"/>
      <family val="1"/>
    </font>
    <font>
      <sz val="20"/>
      <name val="Arial"/>
      <family val="2"/>
    </font>
    <font>
      <b/>
      <sz val="13"/>
      <color indexed="17"/>
      <name val="Arial"/>
      <family val="2"/>
    </font>
    <font>
      <b/>
      <sz val="13"/>
      <color indexed="10"/>
      <name val="Arial"/>
      <family val="2"/>
    </font>
    <font>
      <sz val="14"/>
      <color indexed="10"/>
      <name val="Times New Roman"/>
      <family val="1"/>
    </font>
    <font>
      <sz val="14"/>
      <color indexed="9"/>
      <name val="Times New Roman"/>
      <family val="1"/>
    </font>
    <font>
      <b/>
      <sz val="14"/>
      <color indexed="9"/>
      <name val="Times New Roman"/>
      <family val="1"/>
    </font>
    <font>
      <sz val="6"/>
      <name val="Times New Roman"/>
      <family val="1"/>
    </font>
    <font>
      <b/>
      <sz val="6"/>
      <name val="Times New Roman"/>
      <family val="1"/>
    </font>
    <font>
      <sz val="8"/>
      <name val="Times New Roman"/>
      <family val="1"/>
    </font>
    <font>
      <b/>
      <sz val="10"/>
      <name val="Arial"/>
      <family val="2"/>
    </font>
    <font>
      <b/>
      <sz val="15"/>
      <name val="Times New Roman"/>
      <family val="1"/>
    </font>
    <font>
      <sz val="20"/>
      <name val="Times New Roman"/>
      <family val="1"/>
    </font>
    <font>
      <sz val="10"/>
      <color theme="0"/>
      <name val="Times New Roman"/>
      <family val="1"/>
    </font>
    <font>
      <b/>
      <sz val="13"/>
      <color theme="0"/>
      <name val="Times New Roman"/>
      <family val="1"/>
    </font>
    <font>
      <b/>
      <sz val="24"/>
      <color theme="0"/>
      <name val="Times New Roman"/>
      <family val="1"/>
    </font>
    <font>
      <sz val="14"/>
      <color theme="0"/>
      <name val="Arial"/>
      <family val="2"/>
    </font>
    <font>
      <b/>
      <sz val="11"/>
      <color rgb="FFFF0000"/>
      <name val="Times New Roman"/>
      <family val="1"/>
    </font>
    <font>
      <sz val="10"/>
      <color rgb="FFFF0000"/>
      <name val="Times New Roman"/>
      <family val="1"/>
    </font>
    <font>
      <b/>
      <sz val="6"/>
      <color rgb="FFFF0000"/>
      <name val="Times New Roman"/>
      <family val="1"/>
    </font>
    <font>
      <sz val="12"/>
      <color rgb="FFFF0000"/>
      <name val="Times New Roman"/>
      <family val="1"/>
    </font>
    <font>
      <b/>
      <sz val="12"/>
      <color rgb="FFFF0000"/>
      <name val="Times New Roman"/>
      <family val="1"/>
    </font>
    <font>
      <sz val="10"/>
      <color indexed="8"/>
      <name val="Arial"/>
      <family val="2"/>
    </font>
    <font>
      <b/>
      <sz val="10"/>
      <color indexed="8"/>
      <name val="Arial"/>
      <family val="2"/>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indexed="14"/>
        <bgColor indexed="64"/>
      </patternFill>
    </fill>
    <fill>
      <patternFill patternType="solid">
        <fgColor indexed="10"/>
        <bgColor indexed="64"/>
      </patternFill>
    </fill>
    <fill>
      <patternFill patternType="solid">
        <fgColor indexed="13"/>
        <bgColor indexed="64"/>
      </patternFill>
    </fill>
    <fill>
      <patternFill patternType="solid">
        <fgColor indexed="61"/>
        <bgColor indexed="64"/>
      </patternFill>
    </fill>
    <fill>
      <patternFill patternType="solid">
        <fgColor indexed="53"/>
        <bgColor indexed="64"/>
      </patternFill>
    </fill>
    <fill>
      <patternFill patternType="solid">
        <fgColor theme="0"/>
        <bgColor indexed="64"/>
      </patternFill>
    </fill>
    <fill>
      <patternFill patternType="solid">
        <fgColor rgb="FFFFFF00"/>
        <bgColor indexed="64"/>
      </patternFill>
    </fill>
    <fill>
      <patternFill patternType="solid">
        <fgColor rgb="FFFFFFCC"/>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30"/>
      </bottom>
      <diagonal/>
    </border>
    <border>
      <left style="thin">
        <color indexed="64"/>
      </left>
      <right style="thin">
        <color indexed="64"/>
      </right>
      <top style="thin">
        <color indexed="64"/>
      </top>
      <bottom style="thin">
        <color indexed="64"/>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double">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double">
        <color indexed="64"/>
      </bottom>
      <diagonal/>
    </border>
    <border>
      <left/>
      <right/>
      <top style="hair">
        <color indexed="64"/>
      </top>
      <bottom style="hair">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double">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thin">
        <color indexed="64"/>
      </right>
      <top style="hair">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indexed="64"/>
      </left>
      <right/>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right style="double">
        <color indexed="64"/>
      </right>
      <top style="thin">
        <color indexed="64"/>
      </top>
      <bottom/>
      <diagonal/>
    </border>
    <border>
      <left/>
      <right style="double">
        <color indexed="64"/>
      </right>
      <top/>
      <bottom style="thin">
        <color indexed="64"/>
      </bottom>
      <diagonal/>
    </border>
    <border>
      <left style="thin">
        <color indexed="64"/>
      </left>
      <right/>
      <top/>
      <bottom/>
      <diagonal/>
    </border>
    <border>
      <left/>
      <right style="thin">
        <color indexed="64"/>
      </right>
      <top/>
      <bottom/>
      <diagonal/>
    </border>
  </borders>
  <cellStyleXfs count="78">
    <xf numFmtId="0" fontId="0" fillId="0" borderId="0"/>
    <xf numFmtId="0" fontId="42" fillId="2" borderId="0" applyNumberFormat="0" applyBorder="0" applyAlignment="0" applyProtection="0"/>
    <xf numFmtId="0" fontId="42" fillId="3" borderId="0" applyNumberFormat="0" applyBorder="0" applyAlignment="0" applyProtection="0"/>
    <xf numFmtId="0" fontId="42" fillId="4" borderId="0" applyNumberFormat="0" applyBorder="0" applyAlignment="0" applyProtection="0"/>
    <xf numFmtId="0" fontId="42" fillId="5" borderId="0" applyNumberFormat="0" applyBorder="0" applyAlignment="0" applyProtection="0"/>
    <xf numFmtId="0" fontId="42" fillId="6" borderId="0" applyNumberFormat="0" applyBorder="0" applyAlignment="0" applyProtection="0"/>
    <xf numFmtId="0" fontId="42" fillId="7" borderId="0" applyNumberFormat="0" applyBorder="0" applyAlignment="0" applyProtection="0"/>
    <xf numFmtId="0" fontId="42" fillId="8" borderId="0" applyNumberFormat="0" applyBorder="0" applyAlignment="0" applyProtection="0"/>
    <xf numFmtId="0" fontId="42" fillId="9" borderId="0" applyNumberFormat="0" applyBorder="0" applyAlignment="0" applyProtection="0"/>
    <xf numFmtId="0" fontId="42" fillId="10" borderId="0" applyNumberFormat="0" applyBorder="0" applyAlignment="0" applyProtection="0"/>
    <xf numFmtId="0" fontId="42" fillId="5" borderId="0" applyNumberFormat="0" applyBorder="0" applyAlignment="0" applyProtection="0"/>
    <xf numFmtId="0" fontId="42" fillId="8" borderId="0" applyNumberFormat="0" applyBorder="0" applyAlignment="0" applyProtection="0"/>
    <xf numFmtId="0" fontId="42" fillId="11" borderId="0" applyNumberFormat="0" applyBorder="0" applyAlignment="0" applyProtection="0"/>
    <xf numFmtId="0" fontId="43" fillId="12" borderId="0" applyNumberFormat="0" applyBorder="0" applyAlignment="0" applyProtection="0"/>
    <xf numFmtId="0" fontId="43" fillId="9" borderId="0" applyNumberFormat="0" applyBorder="0" applyAlignment="0" applyProtection="0"/>
    <xf numFmtId="0" fontId="43" fillId="10" borderId="0" applyNumberFormat="0" applyBorder="0" applyAlignment="0" applyProtection="0"/>
    <xf numFmtId="0" fontId="43" fillId="13" borderId="0" applyNumberFormat="0" applyBorder="0" applyAlignment="0" applyProtection="0"/>
    <xf numFmtId="0" fontId="43" fillId="14" borderId="0" applyNumberFormat="0" applyBorder="0" applyAlignment="0" applyProtection="0"/>
    <xf numFmtId="0" fontId="43" fillId="15" borderId="0" applyNumberFormat="0" applyBorder="0" applyAlignment="0" applyProtection="0"/>
    <xf numFmtId="0" fontId="43" fillId="16" borderId="0" applyNumberFormat="0" applyBorder="0" applyAlignment="0" applyProtection="0"/>
    <xf numFmtId="0" fontId="43" fillId="17" borderId="0" applyNumberFormat="0" applyBorder="0" applyAlignment="0" applyProtection="0"/>
    <xf numFmtId="0" fontId="43" fillId="18" borderId="0" applyNumberFormat="0" applyBorder="0" applyAlignment="0" applyProtection="0"/>
    <xf numFmtId="0" fontId="43" fillId="13" borderId="0" applyNumberFormat="0" applyBorder="0" applyAlignment="0" applyProtection="0"/>
    <xf numFmtId="0" fontId="43" fillId="14" borderId="0" applyNumberFormat="0" applyBorder="0" applyAlignment="0" applyProtection="0"/>
    <xf numFmtId="0" fontId="43" fillId="19" borderId="0" applyNumberFormat="0" applyBorder="0" applyAlignment="0" applyProtection="0"/>
    <xf numFmtId="0" fontId="44" fillId="3" borderId="0" applyNumberFormat="0" applyBorder="0" applyAlignment="0" applyProtection="0"/>
    <xf numFmtId="0" fontId="45" fillId="20" borderId="1" applyNumberFormat="0" applyAlignment="0" applyProtection="0"/>
    <xf numFmtId="0" fontId="46" fillId="21" borderId="2" applyNumberFormat="0" applyAlignment="0" applyProtection="0"/>
    <xf numFmtId="43" fontId="1" fillId="0" borderId="0" applyFont="0" applyFill="0" applyBorder="0" applyAlignment="0" applyProtection="0"/>
    <xf numFmtId="3" fontId="26" fillId="0" borderId="0" applyFont="0" applyFill="0" applyBorder="0" applyAlignment="0" applyProtection="0"/>
    <xf numFmtId="174" fontId="26" fillId="0" borderId="0" applyFont="0" applyFill="0" applyBorder="0" applyAlignment="0" applyProtection="0"/>
    <xf numFmtId="0" fontId="26" fillId="0" borderId="0" applyFont="0" applyFill="0" applyBorder="0" applyAlignment="0" applyProtection="0"/>
    <xf numFmtId="0" fontId="47" fillId="0" borderId="0" applyNumberFormat="0" applyFill="0" applyBorder="0" applyAlignment="0" applyProtection="0"/>
    <xf numFmtId="2" fontId="26" fillId="0" borderId="0" applyFont="0" applyFill="0" applyBorder="0" applyAlignment="0" applyProtection="0"/>
    <xf numFmtId="0" fontId="48" fillId="4" borderId="0" applyNumberFormat="0" applyBorder="0" applyAlignment="0" applyProtection="0"/>
    <xf numFmtId="0" fontId="27" fillId="0" borderId="3" applyNumberFormat="0" applyAlignment="0" applyProtection="0">
      <alignment horizontal="left" vertical="center"/>
    </xf>
    <xf numFmtId="0" fontId="27" fillId="0" borderId="4">
      <alignment horizontal="left" vertical="center"/>
    </xf>
    <xf numFmtId="0" fontId="28" fillId="0" borderId="0" applyNumberFormat="0" applyFill="0" applyBorder="0" applyAlignment="0" applyProtection="0"/>
    <xf numFmtId="0" fontId="27" fillId="0" borderId="0" applyNumberFormat="0" applyFill="0" applyBorder="0" applyAlignment="0" applyProtection="0"/>
    <xf numFmtId="0" fontId="49" fillId="0" borderId="5" applyNumberFormat="0" applyFill="0" applyAlignment="0" applyProtection="0"/>
    <xf numFmtId="0" fontId="49" fillId="0" borderId="0" applyNumberFormat="0" applyFill="0" applyBorder="0" applyAlignment="0" applyProtection="0"/>
    <xf numFmtId="49" fontId="29" fillId="0" borderId="6">
      <alignment vertical="center"/>
    </xf>
    <xf numFmtId="0" fontId="50" fillId="7" borderId="1" applyNumberFormat="0" applyAlignment="0" applyProtection="0"/>
    <xf numFmtId="0" fontId="51" fillId="0" borderId="7" applyNumberFormat="0" applyFill="0" applyAlignment="0" applyProtection="0"/>
    <xf numFmtId="0" fontId="30" fillId="0" borderId="0" applyNumberFormat="0" applyFont="0" applyFill="0" applyAlignment="0"/>
    <xf numFmtId="0" fontId="52" fillId="22" borderId="0" applyNumberFormat="0" applyBorder="0" applyAlignment="0" applyProtection="0"/>
    <xf numFmtId="0" fontId="26" fillId="0" borderId="0"/>
    <xf numFmtId="0" fontId="11" fillId="0" borderId="0"/>
    <xf numFmtId="0" fontId="1" fillId="0" borderId="0"/>
    <xf numFmtId="0" fontId="11" fillId="0" borderId="0"/>
    <xf numFmtId="0" fontId="11" fillId="0" borderId="0"/>
    <xf numFmtId="0" fontId="18" fillId="0" borderId="0"/>
    <xf numFmtId="0" fontId="18" fillId="0" borderId="0"/>
    <xf numFmtId="0" fontId="1" fillId="23" borderId="8" applyNumberFormat="0" applyFont="0" applyAlignment="0" applyProtection="0"/>
    <xf numFmtId="0" fontId="53" fillId="20" borderId="9" applyNumberFormat="0" applyAlignment="0" applyProtection="0"/>
    <xf numFmtId="0" fontId="54" fillId="0" borderId="0" applyNumberFormat="0" applyFill="0" applyBorder="0" applyAlignment="0" applyProtection="0"/>
    <xf numFmtId="0" fontId="26" fillId="0" borderId="10" applyNumberFormat="0" applyFont="0" applyFill="0" applyAlignment="0" applyProtection="0"/>
    <xf numFmtId="0" fontId="55" fillId="0" borderId="0" applyNumberForma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0" fontId="5" fillId="0" borderId="0">
      <alignment vertical="center"/>
    </xf>
    <xf numFmtId="40" fontId="31" fillId="0" borderId="0" applyFont="0" applyFill="0" applyBorder="0" applyAlignment="0" applyProtection="0"/>
    <xf numFmtId="38" fontId="31" fillId="0" borderId="0" applyFont="0" applyFill="0" applyBorder="0" applyAlignment="0" applyProtection="0"/>
    <xf numFmtId="0" fontId="31" fillId="0" borderId="0" applyFont="0" applyFill="0" applyBorder="0" applyAlignment="0" applyProtection="0"/>
    <xf numFmtId="0" fontId="31" fillId="0" borderId="0" applyFont="0" applyFill="0" applyBorder="0" applyAlignment="0" applyProtection="0"/>
    <xf numFmtId="9" fontId="32" fillId="0" borderId="0" applyFont="0" applyFill="0" applyBorder="0" applyAlignment="0" applyProtection="0"/>
    <xf numFmtId="0" fontId="33" fillId="0" borderId="0"/>
    <xf numFmtId="172" fontId="37" fillId="0" borderId="0" applyFont="0" applyFill="0" applyBorder="0" applyAlignment="0" applyProtection="0"/>
    <xf numFmtId="173" fontId="37" fillId="0" borderId="0" applyFont="0" applyFill="0" applyBorder="0" applyAlignment="0" applyProtection="0"/>
    <xf numFmtId="171" fontId="37" fillId="0" borderId="0" applyFont="0" applyFill="0" applyBorder="0" applyAlignment="0" applyProtection="0"/>
    <xf numFmtId="170" fontId="37" fillId="0" borderId="0" applyFont="0" applyFill="0" applyBorder="0" applyAlignment="0" applyProtection="0"/>
    <xf numFmtId="0" fontId="38" fillId="0" borderId="0"/>
    <xf numFmtId="0" fontId="34" fillId="0" borderId="0" applyProtection="0"/>
    <xf numFmtId="168" fontId="35" fillId="0" borderId="0" applyFont="0" applyFill="0" applyBorder="0" applyAlignment="0" applyProtection="0"/>
    <xf numFmtId="40" fontId="36" fillId="0" borderId="0" applyFont="0" applyFill="0" applyBorder="0" applyAlignment="0" applyProtection="0"/>
    <xf numFmtId="167" fontId="35" fillId="0" borderId="0" applyFont="0" applyFill="0" applyBorder="0" applyAlignment="0" applyProtection="0"/>
    <xf numFmtId="166" fontId="36" fillId="0" borderId="0" applyFont="0" applyFill="0" applyBorder="0" applyAlignment="0" applyProtection="0"/>
    <xf numFmtId="169" fontId="35" fillId="0" borderId="0" applyFont="0" applyFill="0" applyBorder="0" applyAlignment="0" applyProtection="0"/>
  </cellStyleXfs>
  <cellXfs count="710">
    <xf numFmtId="0" fontId="0" fillId="0" borderId="0" xfId="0"/>
    <xf numFmtId="0" fontId="2" fillId="0" borderId="6" xfId="0" applyFont="1" applyFill="1" applyBorder="1" applyAlignment="1" applyProtection="1">
      <alignment horizontal="center"/>
      <protection hidden="1"/>
    </xf>
    <xf numFmtId="0" fontId="7" fillId="0" borderId="0" xfId="0" applyFont="1" applyProtection="1">
      <protection locked="0"/>
    </xf>
    <xf numFmtId="0" fontId="7" fillId="0" borderId="0" xfId="50" applyFont="1" applyFill="1" applyProtection="1">
      <protection locked="0"/>
    </xf>
    <xf numFmtId="0" fontId="7" fillId="0" borderId="0" xfId="49" applyFont="1" applyFill="1" applyProtection="1">
      <protection locked="0"/>
    </xf>
    <xf numFmtId="0" fontId="7" fillId="0" borderId="0" xfId="49" applyFont="1" applyFill="1" applyAlignment="1" applyProtection="1">
      <alignment horizontal="center"/>
      <protection locked="0"/>
    </xf>
    <xf numFmtId="9" fontId="4" fillId="0" borderId="6" xfId="0" applyNumberFormat="1" applyFont="1" applyFill="1" applyBorder="1" applyAlignment="1" applyProtection="1">
      <alignment horizontal="center" vertical="center" wrapText="1"/>
      <protection locked="0"/>
    </xf>
    <xf numFmtId="0" fontId="5" fillId="0" borderId="6" xfId="0" applyNumberFormat="1" applyFont="1" applyBorder="1" applyAlignment="1" applyProtection="1">
      <alignment horizontal="center" vertical="center"/>
      <protection hidden="1"/>
    </xf>
    <xf numFmtId="164" fontId="2" fillId="0" borderId="11" xfId="0" applyNumberFormat="1" applyFont="1" applyFill="1" applyBorder="1" applyAlignment="1" applyProtection="1">
      <alignment horizontal="center"/>
      <protection hidden="1"/>
    </xf>
    <xf numFmtId="0" fontId="3" fillId="0" borderId="6" xfId="0" applyFont="1" applyBorder="1" applyAlignment="1" applyProtection="1">
      <alignment horizontal="center" vertical="center" wrapText="1"/>
      <protection hidden="1"/>
    </xf>
    <xf numFmtId="0" fontId="7" fillId="0" borderId="0" xfId="0" applyFont="1" applyFill="1" applyProtection="1">
      <protection locked="0"/>
    </xf>
    <xf numFmtId="0" fontId="2" fillId="0" borderId="0" xfId="0" applyFont="1" applyFill="1" applyProtection="1">
      <protection locked="0"/>
    </xf>
    <xf numFmtId="0" fontId="12" fillId="0" borderId="0" xfId="49" applyFont="1" applyFill="1" applyBorder="1" applyAlignment="1" applyProtection="1">
      <alignment horizontal="center"/>
      <protection locked="0"/>
    </xf>
    <xf numFmtId="0" fontId="7" fillId="0" borderId="0" xfId="50" applyFont="1" applyFill="1" applyAlignment="1" applyProtection="1">
      <alignment vertical="center" wrapText="1"/>
      <protection locked="0"/>
    </xf>
    <xf numFmtId="0" fontId="5" fillId="0" borderId="0" xfId="49" applyFont="1" applyFill="1" applyAlignment="1" applyProtection="1">
      <alignment horizontal="center"/>
      <protection locked="0"/>
    </xf>
    <xf numFmtId="0" fontId="5" fillId="0" borderId="0" xfId="0" applyFont="1" applyBorder="1" applyAlignment="1" applyProtection="1">
      <protection locked="0"/>
    </xf>
    <xf numFmtId="0" fontId="5" fillId="0" borderId="0" xfId="0" applyFont="1" applyAlignment="1" applyProtection="1">
      <protection locked="0"/>
    </xf>
    <xf numFmtId="0" fontId="7" fillId="0" borderId="0" xfId="0" applyFont="1" applyAlignment="1" applyProtection="1">
      <alignment horizontal="center"/>
      <protection locked="0"/>
    </xf>
    <xf numFmtId="0" fontId="2" fillId="0" borderId="0" xfId="49" applyFont="1" applyFill="1" applyProtection="1">
      <protection locked="0"/>
    </xf>
    <xf numFmtId="0" fontId="12" fillId="0" borderId="0" xfId="49" applyFont="1" applyFill="1" applyBorder="1" applyAlignment="1" applyProtection="1">
      <alignment vertical="center"/>
      <protection locked="0"/>
    </xf>
    <xf numFmtId="0" fontId="12" fillId="0" borderId="0" xfId="49" applyFont="1" applyFill="1" applyBorder="1" applyAlignment="1" applyProtection="1">
      <alignment horizontal="center" vertical="center"/>
      <protection hidden="1"/>
    </xf>
    <xf numFmtId="0" fontId="4" fillId="0" borderId="0" xfId="49" applyFont="1" applyFill="1" applyAlignment="1" applyProtection="1">
      <alignment horizontal="center"/>
      <protection locked="0"/>
    </xf>
    <xf numFmtId="0" fontId="2" fillId="0" borderId="0" xfId="49" applyFont="1" applyFill="1" applyBorder="1" applyProtection="1">
      <protection locked="0"/>
    </xf>
    <xf numFmtId="0" fontId="12" fillId="0" borderId="0" xfId="49" applyFont="1" applyFill="1" applyBorder="1" applyAlignment="1" applyProtection="1">
      <protection locked="0"/>
    </xf>
    <xf numFmtId="0" fontId="2" fillId="0" borderId="0" xfId="49" applyFont="1" applyFill="1" applyAlignment="1" applyProtection="1">
      <alignment horizontal="center" vertical="center"/>
      <protection locked="0"/>
    </xf>
    <xf numFmtId="0" fontId="2" fillId="0" borderId="6" xfId="49" applyFont="1" applyFill="1" applyBorder="1" applyAlignment="1" applyProtection="1">
      <alignment horizontal="center" vertical="center"/>
      <protection hidden="1"/>
    </xf>
    <xf numFmtId="0" fontId="2" fillId="0" borderId="12" xfId="0" applyFont="1" applyFill="1" applyBorder="1" applyAlignment="1" applyProtection="1">
      <alignment vertical="center"/>
      <protection hidden="1"/>
    </xf>
    <xf numFmtId="0" fontId="2" fillId="0" borderId="4" xfId="0" applyFont="1" applyFill="1" applyBorder="1" applyAlignment="1" applyProtection="1">
      <alignment vertical="center"/>
      <protection hidden="1"/>
    </xf>
    <xf numFmtId="0" fontId="7" fillId="0" borderId="0" xfId="0" applyFont="1" applyFill="1" applyAlignment="1" applyProtection="1">
      <alignment vertical="center" wrapText="1"/>
      <protection locked="0"/>
    </xf>
    <xf numFmtId="0" fontId="20" fillId="0" borderId="0" xfId="0" applyFont="1" applyFill="1" applyAlignment="1" applyProtection="1">
      <alignment vertical="center" wrapText="1"/>
      <protection hidden="1"/>
    </xf>
    <xf numFmtId="0" fontId="21" fillId="0" borderId="6" xfId="0" applyFont="1" applyFill="1" applyBorder="1" applyAlignment="1" applyProtection="1">
      <alignment horizontal="center" vertical="center" wrapText="1"/>
      <protection hidden="1"/>
    </xf>
    <xf numFmtId="0" fontId="22" fillId="0" borderId="6" xfId="0" applyFont="1" applyFill="1" applyBorder="1" applyAlignment="1" applyProtection="1">
      <alignment horizontal="center" vertical="center" wrapText="1"/>
      <protection hidden="1"/>
    </xf>
    <xf numFmtId="0" fontId="22" fillId="0" borderId="6" xfId="0" applyFont="1" applyFill="1" applyBorder="1" applyAlignment="1" applyProtection="1">
      <alignment horizontal="justify" vertical="center" wrapText="1"/>
      <protection hidden="1"/>
    </xf>
    <xf numFmtId="0" fontId="22" fillId="0" borderId="6" xfId="0" applyFont="1" applyFill="1" applyBorder="1" applyAlignment="1" applyProtection="1">
      <alignment horizontal="center" vertical="center"/>
      <protection hidden="1"/>
    </xf>
    <xf numFmtId="0" fontId="22" fillId="0" borderId="6" xfId="0" applyFont="1" applyFill="1" applyBorder="1" applyAlignment="1" applyProtection="1">
      <alignment horizontal="justify" vertical="center"/>
      <protection hidden="1"/>
    </xf>
    <xf numFmtId="0" fontId="21" fillId="0" borderId="6" xfId="0" applyFont="1" applyBorder="1" applyAlignment="1" applyProtection="1">
      <alignment horizontal="justify" vertical="center" wrapText="1"/>
      <protection hidden="1"/>
    </xf>
    <xf numFmtId="0" fontId="25" fillId="0" borderId="0" xfId="48" applyFont="1" applyFill="1" applyAlignment="1" applyProtection="1">
      <alignment vertical="center" wrapText="1"/>
      <protection hidden="1"/>
    </xf>
    <xf numFmtId="0" fontId="21" fillId="0" borderId="0" xfId="0" applyFont="1" applyFill="1" applyAlignment="1" applyProtection="1">
      <alignment vertical="center" wrapText="1"/>
      <protection hidden="1"/>
    </xf>
    <xf numFmtId="0" fontId="22" fillId="0" borderId="0" xfId="0" applyFont="1" applyFill="1" applyAlignment="1" applyProtection="1">
      <alignment vertical="center" wrapText="1"/>
      <protection hidden="1"/>
    </xf>
    <xf numFmtId="0" fontId="23" fillId="0" borderId="0" xfId="0" applyFont="1" applyFill="1" applyAlignment="1" applyProtection="1">
      <alignment vertical="center"/>
      <protection hidden="1"/>
    </xf>
    <xf numFmtId="0" fontId="22" fillId="0" borderId="6" xfId="0" applyFont="1" applyFill="1" applyBorder="1" applyAlignment="1" applyProtection="1">
      <alignment vertical="center" wrapText="1"/>
      <protection hidden="1"/>
    </xf>
    <xf numFmtId="0" fontId="23" fillId="0" borderId="0" xfId="0" applyFont="1" applyFill="1" applyAlignment="1" applyProtection="1">
      <alignment vertical="center" wrapText="1"/>
      <protection hidden="1"/>
    </xf>
    <xf numFmtId="164" fontId="2" fillId="0" borderId="6" xfId="49" applyNumberFormat="1" applyFont="1" applyFill="1" applyBorder="1" applyAlignment="1" applyProtection="1">
      <alignment horizontal="center"/>
      <protection locked="0"/>
    </xf>
    <xf numFmtId="0" fontId="4" fillId="0" borderId="0" xfId="49" applyFont="1" applyFill="1" applyAlignment="1" applyProtection="1">
      <protection locked="0"/>
    </xf>
    <xf numFmtId="164" fontId="2" fillId="0" borderId="6" xfId="49" applyNumberFormat="1" applyFont="1" applyFill="1" applyBorder="1" applyAlignment="1" applyProtection="1">
      <alignment vertical="center"/>
      <protection locked="0"/>
    </xf>
    <xf numFmtId="164" fontId="2" fillId="0" borderId="6" xfId="49" applyNumberFormat="1" applyFont="1" applyFill="1" applyBorder="1" applyAlignment="1" applyProtection="1">
      <alignment horizontal="center" vertical="center"/>
      <protection locked="0"/>
    </xf>
    <xf numFmtId="164" fontId="2" fillId="0" borderId="13" xfId="49" applyNumberFormat="1" applyFont="1" applyFill="1" applyBorder="1" applyAlignment="1" applyProtection="1">
      <alignment vertical="center"/>
      <protection locked="0"/>
    </xf>
    <xf numFmtId="0" fontId="3" fillId="0" borderId="14" xfId="0" applyFont="1" applyBorder="1" applyAlignment="1" applyProtection="1">
      <alignment horizontal="center" vertical="center" wrapText="1"/>
      <protection locked="0"/>
    </xf>
    <xf numFmtId="0" fontId="3" fillId="0" borderId="15" xfId="0" applyFont="1" applyBorder="1" applyAlignment="1" applyProtection="1">
      <alignment horizontal="center" vertical="center" wrapText="1"/>
      <protection locked="0"/>
    </xf>
    <xf numFmtId="0" fontId="21" fillId="0" borderId="6" xfId="0" applyFont="1" applyFill="1" applyBorder="1" applyAlignment="1" applyProtection="1">
      <alignment horizontal="justify" vertical="center" wrapText="1"/>
      <protection hidden="1"/>
    </xf>
    <xf numFmtId="0" fontId="3" fillId="0" borderId="6" xfId="0" applyFont="1" applyBorder="1" applyAlignment="1" applyProtection="1">
      <alignment horizontal="center" vertical="center" textRotation="90" shrinkToFit="1"/>
      <protection hidden="1"/>
    </xf>
    <xf numFmtId="0" fontId="3" fillId="0" borderId="6" xfId="0" applyFont="1" applyBorder="1" applyAlignment="1" applyProtection="1">
      <alignment vertical="center" wrapText="1"/>
      <protection hidden="1"/>
    </xf>
    <xf numFmtId="0" fontId="10" fillId="0" borderId="0" xfId="0" applyFont="1" applyAlignment="1" applyProtection="1">
      <alignment horizontal="center"/>
      <protection locked="0"/>
    </xf>
    <xf numFmtId="0" fontId="2" fillId="0" borderId="11" xfId="49" applyFont="1" applyFill="1" applyBorder="1" applyAlignment="1" applyProtection="1">
      <alignment horizontal="center"/>
      <protection locked="0"/>
    </xf>
    <xf numFmtId="0" fontId="2" fillId="0" borderId="6" xfId="49" applyFont="1" applyFill="1" applyBorder="1" applyAlignment="1" applyProtection="1">
      <alignment horizontal="center"/>
      <protection locked="0"/>
    </xf>
    <xf numFmtId="0" fontId="2" fillId="0" borderId="13" xfId="49" applyFont="1" applyBorder="1" applyAlignment="1" applyProtection="1">
      <alignment horizontal="center" vertical="center"/>
      <protection locked="0"/>
    </xf>
    <xf numFmtId="0" fontId="7" fillId="0" borderId="0" xfId="0" applyFont="1" applyFill="1" applyAlignment="1" applyProtection="1">
      <alignment horizontal="center" vertical="center"/>
      <protection locked="0"/>
    </xf>
    <xf numFmtId="0" fontId="0" fillId="0" borderId="0" xfId="0" applyProtection="1">
      <protection locked="0"/>
    </xf>
    <xf numFmtId="0" fontId="14" fillId="0" borderId="0" xfId="0" applyFont="1" applyAlignment="1" applyProtection="1">
      <alignment horizontal="center"/>
      <protection locked="0"/>
    </xf>
    <xf numFmtId="0" fontId="15" fillId="0" borderId="0" xfId="0" applyFont="1" applyAlignment="1" applyProtection="1">
      <alignment horizontal="center"/>
      <protection locked="0"/>
    </xf>
    <xf numFmtId="0" fontId="15" fillId="0" borderId="0" xfId="0" applyFont="1" applyAlignment="1" applyProtection="1">
      <protection locked="0"/>
    </xf>
    <xf numFmtId="0" fontId="15" fillId="0" borderId="0" xfId="0" applyFont="1" applyProtection="1">
      <protection locked="0"/>
    </xf>
    <xf numFmtId="0" fontId="41" fillId="0" borderId="0" xfId="0" applyFont="1" applyAlignment="1" applyProtection="1">
      <protection locked="0"/>
    </xf>
    <xf numFmtId="0" fontId="15" fillId="0" borderId="0" xfId="0" applyFont="1" applyFill="1" applyProtection="1">
      <protection locked="0"/>
    </xf>
    <xf numFmtId="0" fontId="14" fillId="0" borderId="0" xfId="0" applyFont="1" applyAlignment="1" applyProtection="1">
      <protection locked="0"/>
    </xf>
    <xf numFmtId="175" fontId="2" fillId="0" borderId="6" xfId="49" applyNumberFormat="1" applyFont="1" applyFill="1" applyBorder="1" applyAlignment="1" applyProtection="1">
      <alignment horizontal="center"/>
      <protection locked="0"/>
    </xf>
    <xf numFmtId="175" fontId="2" fillId="0" borderId="11" xfId="49" applyNumberFormat="1" applyFont="1" applyFill="1" applyBorder="1" applyAlignment="1" applyProtection="1">
      <alignment horizontal="center"/>
      <protection locked="0"/>
    </xf>
    <xf numFmtId="0" fontId="14" fillId="0" borderId="0" xfId="0" applyFont="1" applyBorder="1" applyAlignment="1" applyProtection="1">
      <protection locked="0"/>
    </xf>
    <xf numFmtId="0" fontId="14" fillId="0" borderId="0" xfId="0" applyFont="1" applyFill="1" applyBorder="1" applyAlignment="1" applyProtection="1">
      <alignment horizontal="right"/>
      <protection locked="0"/>
    </xf>
    <xf numFmtId="0" fontId="14" fillId="0" borderId="0" xfId="0" applyFont="1" applyFill="1" applyBorder="1" applyAlignment="1" applyProtection="1">
      <protection hidden="1"/>
    </xf>
    <xf numFmtId="0" fontId="15" fillId="0" borderId="0" xfId="0" applyFont="1" applyBorder="1" applyAlignment="1" applyProtection="1">
      <protection locked="0"/>
    </xf>
    <xf numFmtId="0" fontId="23" fillId="0" borderId="0" xfId="0" applyFont="1" applyProtection="1">
      <protection locked="0"/>
    </xf>
    <xf numFmtId="0" fontId="56" fillId="0" borderId="0" xfId="0" applyFont="1" applyBorder="1" applyAlignment="1" applyProtection="1">
      <protection locked="0"/>
    </xf>
    <xf numFmtId="0" fontId="56" fillId="0" borderId="0" xfId="0" applyFont="1" applyFill="1" applyBorder="1" applyAlignment="1" applyProtection="1">
      <protection locked="0"/>
    </xf>
    <xf numFmtId="0" fontId="57" fillId="0" borderId="0" xfId="0" applyFont="1" applyProtection="1">
      <protection locked="0"/>
    </xf>
    <xf numFmtId="0" fontId="57" fillId="0" borderId="0" xfId="0" applyFont="1" applyFill="1" applyProtection="1">
      <protection locked="0"/>
    </xf>
    <xf numFmtId="0" fontId="58" fillId="0" borderId="16" xfId="0" applyFont="1" applyBorder="1" applyAlignment="1" applyProtection="1">
      <alignment vertical="center" shrinkToFit="1"/>
      <protection hidden="1"/>
    </xf>
    <xf numFmtId="0" fontId="58" fillId="0" borderId="17" xfId="0" applyFont="1" applyBorder="1" applyAlignment="1" applyProtection="1">
      <alignment vertical="center" shrinkToFit="1"/>
      <protection hidden="1"/>
    </xf>
    <xf numFmtId="0" fontId="58" fillId="0" borderId="16" xfId="0" applyFont="1" applyBorder="1" applyAlignment="1" applyProtection="1">
      <alignment vertical="center"/>
      <protection locked="0"/>
    </xf>
    <xf numFmtId="0" fontId="58" fillId="0" borderId="18" xfId="0" applyFont="1" applyBorder="1" applyAlignment="1" applyProtection="1">
      <alignment vertical="center"/>
      <protection locked="0"/>
    </xf>
    <xf numFmtId="0" fontId="58" fillId="0" borderId="19" xfId="0" applyFont="1" applyBorder="1" applyAlignment="1" applyProtection="1">
      <alignment vertical="center"/>
      <protection locked="0"/>
    </xf>
    <xf numFmtId="164" fontId="58" fillId="0" borderId="13" xfId="0" applyNumberFormat="1" applyFont="1" applyBorder="1" applyAlignment="1" applyProtection="1">
      <alignment horizontal="center" vertical="center"/>
      <protection hidden="1"/>
    </xf>
    <xf numFmtId="164" fontId="58" fillId="0" borderId="6" xfId="0" applyNumberFormat="1" applyFont="1" applyBorder="1" applyAlignment="1" applyProtection="1">
      <alignment horizontal="center" vertical="center"/>
      <protection hidden="1"/>
    </xf>
    <xf numFmtId="164" fontId="58" fillId="0" borderId="6" xfId="0" applyNumberFormat="1" applyFont="1" applyBorder="1" applyAlignment="1" applyProtection="1">
      <alignment horizontal="center" vertical="center"/>
      <protection locked="0"/>
    </xf>
    <xf numFmtId="164" fontId="58" fillId="0" borderId="19" xfId="0" applyNumberFormat="1" applyFont="1" applyBorder="1" applyAlignment="1" applyProtection="1">
      <alignment horizontal="center" vertical="center"/>
      <protection hidden="1"/>
    </xf>
    <xf numFmtId="164" fontId="58" fillId="0" borderId="18" xfId="0" applyNumberFormat="1" applyFont="1" applyBorder="1" applyAlignment="1" applyProtection="1">
      <alignment horizontal="center" vertical="center"/>
      <protection hidden="1"/>
    </xf>
    <xf numFmtId="2" fontId="58" fillId="0" borderId="20" xfId="0" applyNumberFormat="1" applyFont="1" applyBorder="1" applyAlignment="1" applyProtection="1">
      <alignment horizontal="center" vertical="center"/>
      <protection hidden="1"/>
    </xf>
    <xf numFmtId="0" fontId="58" fillId="0" borderId="20" xfId="0" applyNumberFormat="1" applyFont="1" applyBorder="1" applyAlignment="1" applyProtection="1">
      <alignment horizontal="center" vertical="center"/>
      <protection locked="0"/>
    </xf>
    <xf numFmtId="0" fontId="58" fillId="0" borderId="20" xfId="0" applyNumberFormat="1" applyFont="1" applyBorder="1" applyAlignment="1" applyProtection="1">
      <alignment horizontal="center" vertical="center"/>
      <protection hidden="1"/>
    </xf>
    <xf numFmtId="0" fontId="58" fillId="0" borderId="0" xfId="0" applyFont="1" applyAlignment="1" applyProtection="1">
      <alignment vertical="center"/>
      <protection locked="0"/>
    </xf>
    <xf numFmtId="0" fontId="58" fillId="0" borderId="0" xfId="0" applyFont="1" applyProtection="1">
      <protection locked="0"/>
    </xf>
    <xf numFmtId="0" fontId="58" fillId="0" borderId="21" xfId="0" applyFont="1" applyBorder="1" applyAlignment="1" applyProtection="1">
      <alignment vertical="center"/>
      <protection locked="0"/>
    </xf>
    <xf numFmtId="0" fontId="58" fillId="0" borderId="22" xfId="0" applyFont="1" applyBorder="1" applyAlignment="1" applyProtection="1">
      <alignment vertical="center"/>
      <protection locked="0"/>
    </xf>
    <xf numFmtId="0" fontId="58" fillId="0" borderId="23" xfId="0" applyFont="1" applyBorder="1" applyAlignment="1" applyProtection="1">
      <alignment vertical="center"/>
      <protection locked="0"/>
    </xf>
    <xf numFmtId="164" fontId="58" fillId="0" borderId="24" xfId="0" applyNumberFormat="1" applyFont="1" applyBorder="1" applyAlignment="1" applyProtection="1">
      <alignment horizontal="center" vertical="center"/>
      <protection locked="0"/>
    </xf>
    <xf numFmtId="164" fontId="58" fillId="0" borderId="23" xfId="0" applyNumberFormat="1" applyFont="1" applyBorder="1" applyAlignment="1" applyProtection="1">
      <alignment horizontal="center" vertical="center"/>
      <protection hidden="1"/>
    </xf>
    <xf numFmtId="164" fontId="58" fillId="0" borderId="22" xfId="0" applyNumberFormat="1" applyFont="1" applyBorder="1" applyAlignment="1" applyProtection="1">
      <alignment horizontal="center" vertical="center"/>
      <protection hidden="1"/>
    </xf>
    <xf numFmtId="0" fontId="58" fillId="0" borderId="25" xfId="0" applyNumberFormat="1" applyFont="1" applyBorder="1" applyAlignment="1" applyProtection="1">
      <alignment horizontal="center" vertical="center"/>
      <protection locked="0"/>
    </xf>
    <xf numFmtId="0" fontId="58" fillId="0" borderId="25" xfId="0" applyNumberFormat="1" applyFont="1" applyBorder="1" applyAlignment="1" applyProtection="1">
      <alignment horizontal="center" vertical="center"/>
      <protection hidden="1"/>
    </xf>
    <xf numFmtId="0" fontId="3" fillId="0" borderId="6" xfId="0" applyFont="1" applyBorder="1" applyAlignment="1" applyProtection="1">
      <alignment horizontal="center" vertical="center"/>
      <protection hidden="1"/>
    </xf>
    <xf numFmtId="0" fontId="12" fillId="0" borderId="0" xfId="49" applyFont="1" applyFill="1" applyBorder="1" applyAlignment="1" applyProtection="1">
      <alignment horizontal="center" vertical="center"/>
      <protection locked="0"/>
    </xf>
    <xf numFmtId="0" fontId="3" fillId="0" borderId="6" xfId="47" applyFont="1" applyFill="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hidden="1"/>
    </xf>
    <xf numFmtId="0" fontId="5" fillId="0" borderId="11" xfId="0" applyFont="1" applyBorder="1" applyAlignment="1" applyProtection="1">
      <alignment horizontal="center" vertical="center" wrapText="1"/>
      <protection hidden="1"/>
    </xf>
    <xf numFmtId="0" fontId="5" fillId="0" borderId="0" xfId="0" applyFont="1" applyAlignment="1" applyProtection="1">
      <alignment horizontal="center" vertical="center"/>
      <protection hidden="1"/>
    </xf>
    <xf numFmtId="0" fontId="3" fillId="0" borderId="0" xfId="0" applyFont="1" applyAlignment="1" applyProtection="1">
      <alignment vertical="center"/>
      <protection hidden="1"/>
    </xf>
    <xf numFmtId="0" fontId="5" fillId="0" borderId="0" xfId="0" applyFont="1" applyAlignment="1" applyProtection="1">
      <alignment vertical="center"/>
      <protection hidden="1"/>
    </xf>
    <xf numFmtId="0" fontId="5" fillId="0" borderId="0" xfId="0" applyFont="1" applyAlignment="1" applyProtection="1">
      <alignment horizontal="justify" vertical="center"/>
      <protection hidden="1"/>
    </xf>
    <xf numFmtId="0" fontId="3" fillId="0" borderId="11" xfId="0" applyFont="1" applyBorder="1" applyAlignment="1" applyProtection="1">
      <alignment horizontal="center" vertical="center" wrapText="1"/>
      <protection hidden="1"/>
    </xf>
    <xf numFmtId="0" fontId="3" fillId="0" borderId="6" xfId="47" applyFont="1" applyBorder="1" applyAlignment="1" applyProtection="1">
      <alignment horizontal="center" vertical="center" wrapText="1"/>
      <protection hidden="1"/>
    </xf>
    <xf numFmtId="0" fontId="3" fillId="0" borderId="11" xfId="47" applyFont="1" applyBorder="1" applyAlignment="1" applyProtection="1">
      <alignment horizontal="center" vertical="center" wrapText="1"/>
      <protection hidden="1"/>
    </xf>
    <xf numFmtId="0" fontId="3" fillId="0" borderId="26" xfId="0" applyFont="1" applyBorder="1" applyAlignment="1" applyProtection="1">
      <alignment horizontal="center" vertical="center" wrapText="1"/>
      <protection hidden="1"/>
    </xf>
    <xf numFmtId="0" fontId="5" fillId="0" borderId="26" xfId="0" applyFont="1" applyBorder="1" applyAlignment="1" applyProtection="1">
      <alignment horizontal="center" vertical="center" wrapText="1"/>
      <protection hidden="1"/>
    </xf>
    <xf numFmtId="0" fontId="3" fillId="0" borderId="0" xfId="0" applyFont="1" applyBorder="1" applyAlignment="1" applyProtection="1">
      <alignment horizontal="center" vertical="center"/>
      <protection hidden="1"/>
    </xf>
    <xf numFmtId="0" fontId="5" fillId="0" borderId="0" xfId="0" applyFont="1" applyAlignment="1">
      <alignment vertical="center"/>
    </xf>
    <xf numFmtId="0" fontId="40" fillId="0" borderId="0" xfId="0" applyFont="1" applyAlignment="1">
      <alignment vertical="center"/>
    </xf>
    <xf numFmtId="0" fontId="5" fillId="0" borderId="27" xfId="0" applyFont="1" applyBorder="1" applyAlignment="1">
      <alignment vertical="center"/>
    </xf>
    <xf numFmtId="0" fontId="5" fillId="0" borderId="0" xfId="0" applyFont="1" applyBorder="1" applyAlignment="1" applyProtection="1">
      <alignment vertical="center"/>
      <protection hidden="1"/>
    </xf>
    <xf numFmtId="0" fontId="11" fillId="0" borderId="0" xfId="47" applyFill="1" applyProtection="1">
      <protection locked="0"/>
    </xf>
    <xf numFmtId="0" fontId="8" fillId="0" borderId="0" xfId="47" applyFont="1" applyFill="1" applyBorder="1" applyAlignment="1" applyProtection="1">
      <alignment vertical="center"/>
      <protection locked="0"/>
    </xf>
    <xf numFmtId="0" fontId="7" fillId="0" borderId="0" xfId="47" applyFont="1" applyFill="1" applyProtection="1">
      <protection locked="0"/>
    </xf>
    <xf numFmtId="0" fontId="12" fillId="0" borderId="28" xfId="49" applyFont="1" applyFill="1" applyBorder="1" applyAlignment="1" applyProtection="1">
      <protection locked="0"/>
    </xf>
    <xf numFmtId="0" fontId="5" fillId="0" borderId="0" xfId="47" applyFont="1" applyFill="1" applyAlignment="1" applyProtection="1">
      <alignment horizontal="center"/>
      <protection locked="0"/>
    </xf>
    <xf numFmtId="0" fontId="2" fillId="0" borderId="6" xfId="0" applyFont="1" applyFill="1" applyBorder="1" applyAlignment="1" applyProtection="1">
      <alignment horizontal="center" vertical="center"/>
      <protection hidden="1"/>
    </xf>
    <xf numFmtId="0" fontId="2" fillId="0" borderId="12" xfId="0" applyFont="1" applyFill="1" applyBorder="1" applyAlignment="1" applyProtection="1">
      <alignment horizontal="justify" vertical="center"/>
      <protection hidden="1"/>
    </xf>
    <xf numFmtId="0" fontId="2" fillId="0" borderId="13" xfId="0" applyFont="1" applyFill="1" applyBorder="1" applyAlignment="1" applyProtection="1">
      <alignment horizontal="justify" vertical="center"/>
      <protection hidden="1"/>
    </xf>
    <xf numFmtId="0" fontId="7" fillId="0" borderId="0" xfId="50" applyFont="1" applyFill="1" applyAlignment="1" applyProtection="1">
      <protection hidden="1"/>
    </xf>
    <xf numFmtId="0" fontId="7" fillId="0" borderId="0" xfId="50" applyFont="1" applyFill="1" applyAlignment="1" applyProtection="1">
      <alignment horizontal="center" vertical="center" wrapText="1"/>
      <protection locked="0"/>
    </xf>
    <xf numFmtId="0" fontId="13" fillId="0" borderId="0" xfId="47" applyFont="1" applyFill="1" applyAlignment="1" applyProtection="1">
      <protection locked="0"/>
    </xf>
    <xf numFmtId="0" fontId="13" fillId="0" borderId="0" xfId="47" applyFont="1" applyFill="1" applyAlignment="1" applyProtection="1">
      <alignment horizontal="left"/>
      <protection locked="0"/>
    </xf>
    <xf numFmtId="0" fontId="10" fillId="0" borderId="0" xfId="0" applyFont="1" applyAlignment="1" applyProtection="1">
      <alignment horizontal="center" vertical="center"/>
      <protection hidden="1"/>
    </xf>
    <xf numFmtId="0" fontId="7" fillId="0" borderId="6" xfId="0" applyFont="1" applyBorder="1" applyAlignment="1">
      <alignment vertical="center"/>
    </xf>
    <xf numFmtId="0" fontId="7" fillId="0" borderId="6" xfId="0" applyFont="1" applyBorder="1" applyAlignment="1">
      <alignment horizontal="center" vertical="center"/>
    </xf>
    <xf numFmtId="0" fontId="7" fillId="0" borderId="0" xfId="0" applyFont="1" applyAlignment="1" applyProtection="1">
      <alignment vertical="center"/>
      <protection hidden="1"/>
    </xf>
    <xf numFmtId="0" fontId="5" fillId="0" borderId="0" xfId="0" applyFont="1" applyBorder="1" applyAlignment="1" applyProtection="1">
      <alignment horizontal="center" vertical="center"/>
      <protection hidden="1"/>
    </xf>
    <xf numFmtId="0" fontId="2" fillId="0" borderId="0" xfId="49" applyFont="1" applyFill="1" applyBorder="1" applyAlignment="1" applyProtection="1">
      <alignment horizontal="center" vertical="center"/>
      <protection locked="0"/>
    </xf>
    <xf numFmtId="0" fontId="7" fillId="0" borderId="0" xfId="49" applyFont="1" applyFill="1" applyAlignment="1" applyProtection="1">
      <alignment vertical="center"/>
      <protection locked="0"/>
    </xf>
    <xf numFmtId="0" fontId="5" fillId="0" borderId="0" xfId="49" applyFont="1" applyFill="1" applyBorder="1" applyAlignment="1" applyProtection="1">
      <alignment horizontal="center" vertical="center"/>
      <protection locked="0"/>
    </xf>
    <xf numFmtId="0" fontId="4" fillId="0" borderId="0" xfId="49" applyFont="1" applyFill="1" applyAlignment="1" applyProtection="1">
      <alignment horizontal="center" vertical="center"/>
      <protection locked="0"/>
    </xf>
    <xf numFmtId="0" fontId="2" fillId="0" borderId="0" xfId="49" applyFont="1" applyFill="1" applyAlignment="1" applyProtection="1">
      <alignment vertical="center"/>
      <protection locked="0"/>
    </xf>
    <xf numFmtId="0" fontId="2" fillId="0" borderId="0" xfId="49" applyFont="1" applyFill="1" applyBorder="1" applyAlignment="1" applyProtection="1">
      <alignment vertical="center"/>
      <protection locked="0"/>
    </xf>
    <xf numFmtId="0" fontId="12" fillId="0" borderId="0" xfId="49" applyFont="1" applyFill="1" applyBorder="1" applyAlignment="1" applyProtection="1">
      <alignment horizontal="right" vertical="center"/>
      <protection locked="0"/>
    </xf>
    <xf numFmtId="164" fontId="2" fillId="0" borderId="11" xfId="0" applyNumberFormat="1" applyFont="1" applyFill="1" applyBorder="1" applyAlignment="1" applyProtection="1">
      <alignment horizontal="center" vertical="center"/>
      <protection hidden="1"/>
    </xf>
    <xf numFmtId="0" fontId="2" fillId="0" borderId="6" xfId="49" applyFont="1" applyFill="1" applyBorder="1" applyAlignment="1" applyProtection="1">
      <alignment horizontal="center" vertical="center"/>
      <protection locked="0"/>
    </xf>
    <xf numFmtId="164" fontId="2" fillId="24" borderId="6" xfId="49" applyNumberFormat="1" applyFont="1" applyFill="1" applyBorder="1" applyAlignment="1" applyProtection="1">
      <alignment horizontal="center" vertical="center"/>
      <protection locked="0"/>
    </xf>
    <xf numFmtId="0" fontId="2" fillId="24" borderId="6" xfId="49" applyFont="1" applyFill="1" applyBorder="1" applyAlignment="1" applyProtection="1">
      <alignment horizontal="center" vertical="center"/>
      <protection locked="0"/>
    </xf>
    <xf numFmtId="0" fontId="7" fillId="0" borderId="0" xfId="0" applyFont="1" applyFill="1" applyAlignment="1" applyProtection="1">
      <alignment vertical="center"/>
      <protection locked="0"/>
    </xf>
    <xf numFmtId="0" fontId="7" fillId="0" borderId="0" xfId="49" applyFont="1" applyFill="1" applyAlignment="1" applyProtection="1">
      <alignment horizontal="center" vertical="center"/>
      <protection locked="0"/>
    </xf>
    <xf numFmtId="0" fontId="7" fillId="0" borderId="0" xfId="50" applyFont="1" applyFill="1" applyAlignment="1" applyProtection="1">
      <alignment vertical="center"/>
      <protection locked="0"/>
    </xf>
    <xf numFmtId="0" fontId="5" fillId="0" borderId="0" xfId="49" applyFont="1" applyFill="1" applyAlignment="1" applyProtection="1">
      <alignment horizontal="center" vertical="center"/>
      <protection locked="0"/>
    </xf>
    <xf numFmtId="0" fontId="13" fillId="0" borderId="0" xfId="49" applyFont="1" applyFill="1" applyAlignment="1" applyProtection="1">
      <alignment vertical="center"/>
      <protection locked="0"/>
    </xf>
    <xf numFmtId="0" fontId="7" fillId="0" borderId="6" xfId="49" applyFont="1" applyFill="1" applyBorder="1" applyAlignment="1" applyProtection="1">
      <alignment horizontal="center" vertical="center"/>
      <protection hidden="1"/>
    </xf>
    <xf numFmtId="0" fontId="2" fillId="0" borderId="13" xfId="0" applyFont="1" applyFill="1" applyBorder="1" applyAlignment="1" applyProtection="1">
      <alignment vertical="center"/>
      <protection hidden="1"/>
    </xf>
    <xf numFmtId="0" fontId="7" fillId="0" borderId="0" xfId="50" applyFont="1" applyFill="1" applyAlignment="1" applyProtection="1">
      <alignment vertical="center"/>
      <protection hidden="1"/>
    </xf>
    <xf numFmtId="0" fontId="10" fillId="0" borderId="0" xfId="49" applyFont="1" applyFill="1" applyAlignment="1" applyProtection="1">
      <alignment horizontal="justify" vertical="center"/>
      <protection hidden="1"/>
    </xf>
    <xf numFmtId="0" fontId="3" fillId="0" borderId="0" xfId="49" applyFont="1" applyFill="1" applyBorder="1" applyAlignment="1" applyProtection="1">
      <alignment horizontal="center" vertical="center"/>
      <protection locked="0"/>
    </xf>
    <xf numFmtId="0" fontId="5" fillId="0" borderId="0" xfId="49" applyFont="1" applyFill="1" applyBorder="1" applyAlignment="1" applyProtection="1">
      <alignment vertical="center"/>
      <protection locked="0"/>
    </xf>
    <xf numFmtId="0" fontId="4" fillId="0" borderId="0" xfId="49" applyFont="1" applyFill="1" applyBorder="1" applyAlignment="1" applyProtection="1">
      <alignment vertical="center"/>
      <protection locked="0"/>
    </xf>
    <xf numFmtId="9" fontId="65" fillId="0" borderId="6" xfId="0" applyNumberFormat="1" applyFont="1" applyFill="1" applyBorder="1" applyAlignment="1" applyProtection="1">
      <alignment horizontal="center" vertical="center"/>
      <protection locked="0"/>
    </xf>
    <xf numFmtId="0" fontId="62" fillId="0" borderId="6" xfId="49" applyFont="1" applyFill="1" applyBorder="1" applyAlignment="1" applyProtection="1">
      <alignment horizontal="center" vertical="center"/>
      <protection hidden="1"/>
    </xf>
    <xf numFmtId="0" fontId="63" fillId="0" borderId="6" xfId="0" applyFont="1" applyFill="1" applyBorder="1" applyAlignment="1" applyProtection="1">
      <alignment horizontal="center" vertical="center"/>
      <protection hidden="1"/>
    </xf>
    <xf numFmtId="0" fontId="7" fillId="0" borderId="0" xfId="0" applyFont="1" applyFill="1" applyAlignment="1" applyProtection="1">
      <alignment horizontal="center" vertical="center" wrapText="1"/>
      <protection locked="0"/>
    </xf>
    <xf numFmtId="0" fontId="4" fillId="0" borderId="0" xfId="49" applyFont="1" applyFill="1" applyAlignment="1" applyProtection="1">
      <alignment vertical="center"/>
      <protection locked="0"/>
    </xf>
    <xf numFmtId="0" fontId="7" fillId="0" borderId="29" xfId="49" applyFont="1" applyFill="1" applyBorder="1" applyAlignment="1" applyProtection="1">
      <alignment vertical="center"/>
      <protection locked="0"/>
    </xf>
    <xf numFmtId="9" fontId="61" fillId="0" borderId="6" xfId="0" applyNumberFormat="1" applyFont="1" applyFill="1" applyBorder="1" applyAlignment="1" applyProtection="1">
      <alignment horizontal="center" vertical="center"/>
      <protection locked="0"/>
    </xf>
    <xf numFmtId="0" fontId="59" fillId="0" borderId="6" xfId="49" applyFont="1" applyFill="1" applyBorder="1" applyAlignment="1" applyProtection="1">
      <alignment horizontal="center"/>
      <protection hidden="1"/>
    </xf>
    <xf numFmtId="0" fontId="5" fillId="0" borderId="0" xfId="49" applyFont="1" applyFill="1" applyBorder="1" applyAlignment="1" applyProtection="1">
      <alignment horizontal="left" vertical="center"/>
      <protection locked="0"/>
    </xf>
    <xf numFmtId="0" fontId="6" fillId="0" borderId="0" xfId="49" applyFont="1" applyFill="1" applyBorder="1" applyAlignment="1" applyProtection="1">
      <alignment vertical="center"/>
      <protection locked="0"/>
    </xf>
    <xf numFmtId="0" fontId="62" fillId="0" borderId="29" xfId="49" applyFont="1" applyFill="1" applyBorder="1" applyAlignment="1" applyProtection="1">
      <alignment horizontal="center" vertical="center"/>
      <protection hidden="1"/>
    </xf>
    <xf numFmtId="0" fontId="62" fillId="0" borderId="0" xfId="49" applyFont="1" applyFill="1" applyBorder="1" applyAlignment="1" applyProtection="1">
      <alignment horizontal="center" vertical="center"/>
      <protection hidden="1"/>
    </xf>
    <xf numFmtId="0" fontId="10" fillId="0" borderId="0" xfId="49" applyFont="1" applyFill="1" applyAlignment="1" applyProtection="1">
      <protection hidden="1"/>
    </xf>
    <xf numFmtId="0" fontId="59" fillId="0" borderId="6" xfId="0" applyFont="1" applyFill="1" applyBorder="1" applyProtection="1">
      <protection hidden="1"/>
    </xf>
    <xf numFmtId="0" fontId="12" fillId="0" borderId="28" xfId="49" applyFont="1" applyFill="1" applyBorder="1" applyAlignment="1" applyProtection="1">
      <alignment vertical="center"/>
      <protection locked="0"/>
    </xf>
    <xf numFmtId="0" fontId="59" fillId="0" borderId="6" xfId="0" applyFont="1" applyFill="1" applyBorder="1" applyAlignment="1" applyProtection="1">
      <alignment horizontal="center" vertical="center"/>
      <protection hidden="1"/>
    </xf>
    <xf numFmtId="0" fontId="59" fillId="0" borderId="6" xfId="49" applyFont="1" applyFill="1" applyBorder="1" applyAlignment="1" applyProtection="1">
      <alignment horizontal="center" vertical="center"/>
      <protection hidden="1"/>
    </xf>
    <xf numFmtId="164" fontId="2" fillId="0" borderId="6" xfId="0" applyNumberFormat="1" applyFont="1" applyFill="1" applyBorder="1" applyAlignment="1" applyProtection="1">
      <alignment horizontal="center" vertical="center"/>
      <protection hidden="1"/>
    </xf>
    <xf numFmtId="0" fontId="10" fillId="0" borderId="0" xfId="49" applyFont="1" applyFill="1" applyAlignment="1" applyProtection="1">
      <alignment vertical="center"/>
      <protection hidden="1"/>
    </xf>
    <xf numFmtId="0" fontId="5" fillId="0" borderId="0" xfId="49" applyFont="1" applyFill="1" applyBorder="1" applyAlignment="1" applyProtection="1">
      <alignment horizontal="left" vertical="center" indent="3"/>
      <protection locked="0"/>
    </xf>
    <xf numFmtId="0" fontId="5" fillId="0" borderId="0" xfId="49" applyFont="1" applyFill="1" applyBorder="1" applyAlignment="1" applyProtection="1">
      <alignment horizontal="left" vertical="center" indent="5"/>
      <protection locked="0"/>
    </xf>
    <xf numFmtId="0" fontId="4" fillId="0" borderId="0" xfId="49" applyFont="1" applyFill="1" applyAlignment="1" applyProtection="1">
      <alignment horizontal="left" vertical="center" indent="1"/>
      <protection locked="0"/>
    </xf>
    <xf numFmtId="0" fontId="4" fillId="0" borderId="0" xfId="49" applyFont="1" applyFill="1" applyAlignment="1" applyProtection="1">
      <alignment horizontal="left" vertical="center" indent="2"/>
      <protection locked="0"/>
    </xf>
    <xf numFmtId="0" fontId="5" fillId="0" borderId="0" xfId="49" applyFont="1" applyFill="1" applyBorder="1" applyAlignment="1" applyProtection="1">
      <alignment horizontal="left" vertical="center" indent="6"/>
      <protection locked="0"/>
    </xf>
    <xf numFmtId="0" fontId="5" fillId="0" borderId="0" xfId="49" applyFont="1" applyFill="1" applyBorder="1" applyAlignment="1" applyProtection="1">
      <alignment horizontal="left" vertical="center" indent="7"/>
      <protection locked="0"/>
    </xf>
    <xf numFmtId="0" fontId="8" fillId="0" borderId="0" xfId="49" applyFont="1" applyFill="1" applyBorder="1" applyAlignment="1" applyProtection="1">
      <alignment horizontal="center" vertical="center"/>
      <protection hidden="1"/>
    </xf>
    <xf numFmtId="164" fontId="2" fillId="0" borderId="11" xfId="49" applyNumberFormat="1" applyFont="1" applyFill="1" applyBorder="1" applyAlignment="1" applyProtection="1">
      <alignment horizontal="center" vertical="center"/>
      <protection locked="0"/>
    </xf>
    <xf numFmtId="0" fontId="4" fillId="0" borderId="0" xfId="49" applyFont="1" applyFill="1" applyAlignment="1" applyProtection="1">
      <alignment horizontal="left" indent="1"/>
      <protection locked="0"/>
    </xf>
    <xf numFmtId="0" fontId="5" fillId="0" borderId="0" xfId="49" applyFont="1" applyFill="1" applyBorder="1" applyAlignment="1" applyProtection="1">
      <alignment horizontal="left" vertical="center" indent="8"/>
      <protection locked="0"/>
    </xf>
    <xf numFmtId="0" fontId="6" fillId="0" borderId="0" xfId="47" applyFont="1" applyFill="1" applyBorder="1" applyAlignment="1" applyProtection="1">
      <alignment horizontal="center" vertical="center"/>
      <protection locked="0"/>
    </xf>
    <xf numFmtId="0" fontId="11" fillId="0" borderId="0" xfId="47" applyFill="1" applyAlignment="1" applyProtection="1">
      <alignment vertical="center"/>
      <protection locked="0"/>
    </xf>
    <xf numFmtId="0" fontId="7" fillId="0" borderId="0" xfId="47" applyFont="1" applyFill="1" applyAlignment="1" applyProtection="1">
      <alignment vertical="center"/>
      <protection locked="0"/>
    </xf>
    <xf numFmtId="0" fontId="8" fillId="0" borderId="28" xfId="47" applyFont="1" applyFill="1" applyBorder="1" applyAlignment="1" applyProtection="1">
      <alignment vertical="center"/>
      <protection locked="0"/>
    </xf>
    <xf numFmtId="0" fontId="8" fillId="0" borderId="28" xfId="47" applyFont="1" applyFill="1" applyBorder="1" applyAlignment="1" applyProtection="1">
      <alignment horizontal="right" vertical="center"/>
      <protection locked="0"/>
    </xf>
    <xf numFmtId="0" fontId="5" fillId="0" borderId="0" xfId="47" applyFont="1" applyFill="1" applyAlignment="1" applyProtection="1">
      <alignment horizontal="center" vertical="center"/>
      <protection locked="0"/>
    </xf>
    <xf numFmtId="0" fontId="3" fillId="0" borderId="6" xfId="47" applyFont="1" applyFill="1" applyBorder="1" applyAlignment="1" applyProtection="1">
      <alignment horizontal="center" vertical="center"/>
      <protection locked="0"/>
    </xf>
    <xf numFmtId="0" fontId="7" fillId="0" borderId="6" xfId="47" applyFont="1" applyFill="1" applyBorder="1" applyAlignment="1" applyProtection="1">
      <alignment horizontal="center" vertical="center"/>
      <protection hidden="1"/>
    </xf>
    <xf numFmtId="0" fontId="5" fillId="0" borderId="0" xfId="49" applyFont="1" applyFill="1" applyBorder="1" applyAlignment="1" applyProtection="1">
      <alignment horizontal="left" vertical="center" indent="2"/>
      <protection locked="0"/>
    </xf>
    <xf numFmtId="0" fontId="8" fillId="0" borderId="0" xfId="49" applyFont="1" applyFill="1" applyBorder="1" applyAlignment="1" applyProtection="1">
      <alignment horizontal="left" vertical="center"/>
      <protection hidden="1"/>
    </xf>
    <xf numFmtId="0" fontId="3" fillId="0" borderId="0" xfId="0" applyFont="1" applyFill="1" applyAlignment="1" applyProtection="1">
      <alignment vertical="center"/>
      <protection locked="0"/>
    </xf>
    <xf numFmtId="164" fontId="2" fillId="0" borderId="6" xfId="49" applyNumberFormat="1" applyFont="1" applyFill="1" applyBorder="1" applyAlignment="1" applyProtection="1">
      <alignment horizontal="center" vertical="center"/>
      <protection hidden="1"/>
    </xf>
    <xf numFmtId="1" fontId="2" fillId="0" borderId="6" xfId="49" applyNumberFormat="1" applyFont="1" applyFill="1" applyBorder="1" applyAlignment="1" applyProtection="1">
      <alignment horizontal="center" vertical="center"/>
      <protection locked="0"/>
    </xf>
    <xf numFmtId="1" fontId="17" fillId="0" borderId="6" xfId="0" applyNumberFormat="1" applyFont="1" applyBorder="1" applyAlignment="1" applyProtection="1">
      <alignment horizontal="center" vertical="center"/>
      <protection locked="0"/>
    </xf>
    <xf numFmtId="1" fontId="2" fillId="0" borderId="6" xfId="49" applyNumberFormat="1" applyFont="1" applyBorder="1" applyAlignment="1" applyProtection="1">
      <alignment horizontal="center" vertical="center"/>
      <protection locked="0"/>
    </xf>
    <xf numFmtId="1" fontId="2" fillId="0" borderId="6" xfId="49" applyNumberFormat="1" applyFont="1" applyFill="1" applyBorder="1" applyAlignment="1" applyProtection="1">
      <alignment vertical="center"/>
      <protection locked="0"/>
    </xf>
    <xf numFmtId="1" fontId="17" fillId="24" borderId="6" xfId="0" applyNumberFormat="1" applyFont="1" applyFill="1" applyBorder="1" applyAlignment="1" applyProtection="1">
      <alignment vertical="center"/>
      <protection locked="0"/>
    </xf>
    <xf numFmtId="0" fontId="59" fillId="0" borderId="0" xfId="0" applyFont="1" applyFill="1" applyAlignment="1" applyProtection="1">
      <alignment horizontal="center" vertical="center"/>
      <protection hidden="1"/>
    </xf>
    <xf numFmtId="0" fontId="59" fillId="0" borderId="0" xfId="50" applyFont="1" applyFill="1" applyAlignment="1" applyProtection="1">
      <alignment horizontal="center" vertical="center" wrapText="1"/>
      <protection locked="0"/>
    </xf>
    <xf numFmtId="0" fontId="59" fillId="0" borderId="0" xfId="0" applyFont="1" applyFill="1" applyAlignment="1" applyProtection="1">
      <alignment horizontal="center" vertical="center" wrapText="1"/>
      <protection locked="0"/>
    </xf>
    <xf numFmtId="0" fontId="5" fillId="0" borderId="6" xfId="0" applyFont="1" applyBorder="1" applyAlignment="1" applyProtection="1">
      <alignment horizontal="center" vertical="center"/>
      <protection hidden="1"/>
    </xf>
    <xf numFmtId="0" fontId="2" fillId="0" borderId="6" xfId="49" applyFont="1" applyBorder="1" applyAlignment="1" applyProtection="1">
      <alignment horizontal="center" vertical="center"/>
      <protection locked="0"/>
    </xf>
    <xf numFmtId="0" fontId="59" fillId="0" borderId="0" xfId="49" applyFont="1" applyFill="1" applyAlignment="1" applyProtection="1">
      <alignment horizontal="center" vertical="center"/>
      <protection locked="0"/>
    </xf>
    <xf numFmtId="0" fontId="61" fillId="0" borderId="0" xfId="49" applyFont="1" applyFill="1" applyBorder="1" applyAlignment="1" applyProtection="1">
      <alignment horizontal="center" vertical="center"/>
      <protection locked="0"/>
    </xf>
    <xf numFmtId="164" fontId="17" fillId="0" borderId="6" xfId="0" applyNumberFormat="1" applyFont="1" applyBorder="1" applyAlignment="1" applyProtection="1">
      <alignment horizontal="center" vertical="center"/>
      <protection locked="0"/>
    </xf>
    <xf numFmtId="0" fontId="17" fillId="24" borderId="6" xfId="0" applyFont="1" applyFill="1" applyBorder="1" applyAlignment="1" applyProtection="1">
      <alignment vertical="center"/>
      <protection locked="0"/>
    </xf>
    <xf numFmtId="0" fontId="61" fillId="0" borderId="0" xfId="49" applyFont="1" applyFill="1" applyAlignment="1" applyProtection="1">
      <alignment horizontal="center" vertical="center"/>
      <protection locked="0"/>
    </xf>
    <xf numFmtId="0" fontId="62" fillId="0" borderId="0" xfId="0" applyFont="1" applyFill="1" applyAlignment="1" applyProtection="1">
      <alignment vertical="center"/>
      <protection hidden="1"/>
    </xf>
    <xf numFmtId="0" fontId="2" fillId="0" borderId="6" xfId="49" applyFont="1" applyBorder="1" applyAlignment="1" applyProtection="1">
      <alignment horizontal="center" vertical="center"/>
      <protection hidden="1"/>
    </xf>
    <xf numFmtId="0" fontId="5" fillId="0" borderId="12" xfId="49" applyFont="1" applyBorder="1" applyAlignment="1" applyProtection="1">
      <alignment horizontal="justify" vertical="center"/>
      <protection hidden="1"/>
    </xf>
    <xf numFmtId="0" fontId="5" fillId="0" borderId="12" xfId="49" applyFont="1" applyBorder="1" applyAlignment="1" applyProtection="1">
      <alignment horizontal="center" vertical="center"/>
      <protection hidden="1"/>
    </xf>
    <xf numFmtId="0" fontId="5" fillId="0" borderId="13" xfId="49" applyFont="1" applyBorder="1" applyAlignment="1" applyProtection="1">
      <alignment horizontal="justify" vertical="center"/>
      <protection hidden="1"/>
    </xf>
    <xf numFmtId="0" fontId="5" fillId="0" borderId="13" xfId="49" applyFont="1" applyBorder="1" applyAlignment="1" applyProtection="1">
      <alignment horizontal="center" vertical="center"/>
      <protection hidden="1"/>
    </xf>
    <xf numFmtId="0" fontId="3" fillId="0" borderId="0" xfId="0" applyFont="1" applyBorder="1" applyAlignment="1" applyProtection="1">
      <alignment vertical="center"/>
      <protection hidden="1"/>
    </xf>
    <xf numFmtId="0" fontId="5" fillId="0" borderId="0" xfId="0" applyFont="1" applyFill="1" applyAlignment="1" applyProtection="1">
      <alignment vertical="center"/>
      <protection hidden="1"/>
    </xf>
    <xf numFmtId="0" fontId="3" fillId="0" borderId="0" xfId="0" applyFont="1" applyFill="1" applyBorder="1" applyAlignment="1" applyProtection="1">
      <alignment horizontal="right" vertical="center"/>
      <protection hidden="1"/>
    </xf>
    <xf numFmtId="0" fontId="3" fillId="0" borderId="0" xfId="0" applyFont="1" applyFill="1" applyBorder="1" applyAlignment="1" applyProtection="1">
      <alignment horizontal="left" vertical="center"/>
      <protection hidden="1"/>
    </xf>
    <xf numFmtId="0" fontId="19" fillId="0" borderId="0" xfId="0" applyFont="1" applyBorder="1" applyAlignment="1" applyProtection="1">
      <alignment vertical="center"/>
      <protection hidden="1"/>
    </xf>
    <xf numFmtId="0" fontId="19" fillId="0" borderId="0" xfId="0" applyFont="1" applyBorder="1" applyAlignment="1" applyProtection="1">
      <alignment horizontal="right" vertical="center"/>
      <protection hidden="1"/>
    </xf>
    <xf numFmtId="0" fontId="19" fillId="0" borderId="0" xfId="0" applyFont="1" applyFill="1" applyBorder="1" applyAlignment="1" applyProtection="1">
      <alignment vertical="center"/>
      <protection hidden="1"/>
    </xf>
    <xf numFmtId="0" fontId="19" fillId="0" borderId="28" xfId="0" applyFont="1" applyFill="1" applyBorder="1" applyAlignment="1" applyProtection="1">
      <alignment vertical="center"/>
      <protection hidden="1"/>
    </xf>
    <xf numFmtId="0" fontId="19" fillId="0" borderId="0" xfId="0" applyFont="1" applyFill="1" applyBorder="1" applyAlignment="1" applyProtection="1">
      <alignment horizontal="center" vertical="center"/>
      <protection hidden="1"/>
    </xf>
    <xf numFmtId="164" fontId="56" fillId="0" borderId="0" xfId="0" applyNumberFormat="1" applyFont="1" applyBorder="1" applyAlignment="1" applyProtection="1">
      <protection locked="0"/>
    </xf>
    <xf numFmtId="0" fontId="10" fillId="0" borderId="6" xfId="0" applyFont="1" applyBorder="1" applyAlignment="1" applyProtection="1">
      <alignment horizontal="center" vertical="center"/>
      <protection hidden="1"/>
    </xf>
    <xf numFmtId="0" fontId="10" fillId="25" borderId="6" xfId="0" applyFont="1" applyFill="1" applyBorder="1" applyAlignment="1" applyProtection="1">
      <alignment horizontal="center" vertical="center"/>
      <protection locked="0"/>
    </xf>
    <xf numFmtId="0" fontId="7" fillId="26" borderId="6" xfId="0" applyFont="1" applyFill="1" applyBorder="1" applyProtection="1">
      <protection locked="0"/>
    </xf>
    <xf numFmtId="0" fontId="10" fillId="0" borderId="6" xfId="0" applyFont="1" applyFill="1" applyBorder="1" applyAlignment="1" applyProtection="1">
      <alignment horizontal="center" vertical="center"/>
      <protection locked="0"/>
    </xf>
    <xf numFmtId="0" fontId="7" fillId="0" borderId="6" xfId="0" applyFont="1" applyBorder="1" applyProtection="1">
      <protection locked="0"/>
    </xf>
    <xf numFmtId="0" fontId="3" fillId="27" borderId="6" xfId="0" applyNumberFormat="1" applyFont="1" applyFill="1" applyBorder="1" applyAlignment="1" applyProtection="1">
      <alignment horizontal="center" vertical="center"/>
      <protection locked="0"/>
    </xf>
    <xf numFmtId="0" fontId="10" fillId="27" borderId="6" xfId="0" applyFont="1" applyFill="1" applyBorder="1" applyAlignment="1" applyProtection="1">
      <alignment horizontal="center"/>
      <protection locked="0"/>
    </xf>
    <xf numFmtId="0" fontId="10" fillId="0" borderId="6" xfId="0" applyFont="1" applyBorder="1" applyAlignment="1" applyProtection="1">
      <alignment horizontal="center"/>
      <protection locked="0"/>
    </xf>
    <xf numFmtId="164" fontId="58" fillId="0" borderId="6" xfId="0" applyNumberFormat="1" applyFont="1" applyBorder="1" applyAlignment="1" applyProtection="1">
      <alignment vertical="center"/>
      <protection hidden="1"/>
    </xf>
    <xf numFmtId="0" fontId="67" fillId="0" borderId="6" xfId="0" applyNumberFormat="1" applyFont="1" applyFill="1" applyBorder="1" applyAlignment="1" applyProtection="1">
      <alignment horizontal="center" vertical="center"/>
      <protection hidden="1"/>
    </xf>
    <xf numFmtId="0" fontId="58" fillId="25" borderId="6" xfId="0" applyNumberFormat="1" applyFont="1" applyFill="1" applyBorder="1" applyAlignment="1" applyProtection="1">
      <alignment vertical="center"/>
      <protection hidden="1"/>
    </xf>
    <xf numFmtId="175" fontId="58" fillId="0" borderId="6" xfId="0" applyNumberFormat="1" applyFont="1" applyFill="1" applyBorder="1" applyAlignment="1" applyProtection="1">
      <alignment vertical="center"/>
      <protection hidden="1"/>
    </xf>
    <xf numFmtId="0" fontId="58" fillId="26" borderId="6" xfId="0" applyNumberFormat="1" applyFont="1" applyFill="1" applyBorder="1" applyAlignment="1" applyProtection="1">
      <alignment vertical="center"/>
      <protection hidden="1"/>
    </xf>
    <xf numFmtId="0" fontId="10" fillId="25" borderId="30" xfId="0" applyFont="1" applyFill="1" applyBorder="1" applyAlignment="1" applyProtection="1">
      <alignment horizontal="center" vertical="center"/>
      <protection locked="0"/>
    </xf>
    <xf numFmtId="0" fontId="10" fillId="25" borderId="11" xfId="0" applyFont="1" applyFill="1" applyBorder="1" applyAlignment="1" applyProtection="1">
      <alignment horizontal="center" vertical="center"/>
      <protection locked="0"/>
    </xf>
    <xf numFmtId="0" fontId="10" fillId="26" borderId="30" xfId="0" applyFont="1" applyFill="1" applyBorder="1" applyAlignment="1" applyProtection="1">
      <alignment horizontal="center" vertical="center"/>
      <protection locked="0"/>
    </xf>
    <xf numFmtId="0" fontId="7" fillId="26" borderId="31" xfId="0" applyFont="1" applyFill="1" applyBorder="1" applyProtection="1">
      <protection locked="0"/>
    </xf>
    <xf numFmtId="0" fontId="10" fillId="26" borderId="11" xfId="0" applyFont="1" applyFill="1" applyBorder="1" applyAlignment="1" applyProtection="1">
      <alignment horizontal="center"/>
      <protection locked="0"/>
    </xf>
    <xf numFmtId="0" fontId="10" fillId="0" borderId="13" xfId="0" applyFont="1" applyBorder="1" applyAlignment="1" applyProtection="1">
      <alignment horizontal="center" vertical="center"/>
      <protection hidden="1"/>
    </xf>
    <xf numFmtId="0" fontId="10" fillId="27" borderId="13" xfId="0" applyFont="1" applyFill="1" applyBorder="1" applyAlignment="1" applyProtection="1">
      <alignment horizontal="center"/>
      <protection locked="0"/>
    </xf>
    <xf numFmtId="164" fontId="58" fillId="0" borderId="13" xfId="0" applyNumberFormat="1" applyFont="1" applyBorder="1" applyAlignment="1" applyProtection="1">
      <alignment vertical="center"/>
      <protection hidden="1"/>
    </xf>
    <xf numFmtId="0" fontId="10" fillId="0" borderId="32" xfId="0" applyFont="1" applyFill="1" applyBorder="1" applyAlignment="1" applyProtection="1">
      <alignment horizontal="center" vertical="center"/>
      <protection locked="0"/>
    </xf>
    <xf numFmtId="0" fontId="10" fillId="27" borderId="32" xfId="0" applyFont="1" applyFill="1" applyBorder="1" applyAlignment="1" applyProtection="1">
      <alignment horizontal="center"/>
      <protection locked="0"/>
    </xf>
    <xf numFmtId="164" fontId="58" fillId="0" borderId="32" xfId="0" applyNumberFormat="1" applyFont="1" applyBorder="1" applyAlignment="1" applyProtection="1">
      <alignment horizontal="center" vertical="center"/>
      <protection hidden="1"/>
    </xf>
    <xf numFmtId="0" fontId="10" fillId="28" borderId="6" xfId="0" applyFont="1" applyFill="1" applyBorder="1" applyAlignment="1" applyProtection="1">
      <alignment horizontal="center" vertical="center"/>
      <protection locked="0"/>
    </xf>
    <xf numFmtId="2" fontId="58" fillId="28" borderId="6" xfId="0" applyNumberFormat="1" applyFont="1" applyFill="1" applyBorder="1" applyAlignment="1" applyProtection="1">
      <alignment vertical="center"/>
      <protection hidden="1"/>
    </xf>
    <xf numFmtId="0" fontId="10" fillId="28" borderId="30" xfId="0" applyFont="1" applyFill="1" applyBorder="1" applyAlignment="1" applyProtection="1">
      <alignment horizontal="center" vertical="center"/>
      <protection locked="0"/>
    </xf>
    <xf numFmtId="164" fontId="58" fillId="0" borderId="6" xfId="0" applyNumberFormat="1" applyFont="1" applyFill="1" applyBorder="1" applyAlignment="1" applyProtection="1">
      <alignment vertical="center"/>
      <protection hidden="1"/>
    </xf>
    <xf numFmtId="0" fontId="10" fillId="28" borderId="31" xfId="0" applyFont="1" applyFill="1" applyBorder="1" applyAlignment="1" applyProtection="1">
      <alignment horizontal="center" vertical="center"/>
      <protection locked="0"/>
    </xf>
    <xf numFmtId="0" fontId="10" fillId="28" borderId="11" xfId="0" applyFont="1" applyFill="1" applyBorder="1" applyAlignment="1" applyProtection="1">
      <alignment horizontal="center"/>
      <protection locked="0"/>
    </xf>
    <xf numFmtId="0" fontId="7" fillId="29" borderId="6" xfId="0" applyFont="1" applyFill="1" applyBorder="1" applyProtection="1">
      <protection locked="0"/>
    </xf>
    <xf numFmtId="0" fontId="10" fillId="29" borderId="6" xfId="0" applyFont="1" applyFill="1" applyBorder="1" applyAlignment="1" applyProtection="1">
      <alignment horizontal="center"/>
      <protection locked="0"/>
    </xf>
    <xf numFmtId="0" fontId="58" fillId="29" borderId="6" xfId="0" applyNumberFormat="1" applyFont="1" applyFill="1" applyBorder="1" applyAlignment="1" applyProtection="1">
      <alignment vertical="center"/>
      <protection hidden="1"/>
    </xf>
    <xf numFmtId="0" fontId="10" fillId="29" borderId="30" xfId="0" applyFont="1" applyFill="1" applyBorder="1" applyAlignment="1" applyProtection="1">
      <alignment horizontal="center" vertical="center"/>
      <protection locked="0"/>
    </xf>
    <xf numFmtId="0" fontId="7" fillId="29" borderId="11" xfId="0" applyFont="1" applyFill="1" applyBorder="1" applyProtection="1">
      <protection locked="0"/>
    </xf>
    <xf numFmtId="0" fontId="58" fillId="0" borderId="20" xfId="0" applyNumberFormat="1" applyFont="1" applyFill="1" applyBorder="1" applyAlignment="1" applyProtection="1">
      <alignment horizontal="center" vertical="center"/>
      <protection hidden="1"/>
    </xf>
    <xf numFmtId="0" fontId="3" fillId="0" borderId="33" xfId="0" quotePrefix="1" applyFont="1" applyBorder="1" applyAlignment="1" applyProtection="1">
      <alignment horizontal="center"/>
      <protection locked="0"/>
    </xf>
    <xf numFmtId="0" fontId="58" fillId="0" borderId="34" xfId="0" applyNumberFormat="1" applyFont="1" applyFill="1" applyBorder="1" applyAlignment="1" applyProtection="1">
      <alignment horizontal="center" vertical="center"/>
      <protection hidden="1"/>
    </xf>
    <xf numFmtId="0" fontId="58" fillId="0" borderId="34" xfId="0" applyNumberFormat="1" applyFont="1" applyBorder="1" applyAlignment="1" applyProtection="1">
      <alignment horizontal="center" vertical="center"/>
      <protection hidden="1"/>
    </xf>
    <xf numFmtId="2" fontId="58" fillId="0" borderId="34" xfId="0" applyNumberFormat="1" applyFont="1" applyBorder="1" applyAlignment="1" applyProtection="1">
      <alignment horizontal="center" vertical="center"/>
      <protection hidden="1"/>
    </xf>
    <xf numFmtId="0" fontId="58" fillId="0" borderId="25" xfId="0" applyNumberFormat="1" applyFont="1" applyFill="1" applyBorder="1" applyAlignment="1" applyProtection="1">
      <alignment horizontal="center" vertical="center"/>
      <protection hidden="1"/>
    </xf>
    <xf numFmtId="2" fontId="58" fillId="0" borderId="25" xfId="0" applyNumberFormat="1" applyFont="1" applyBorder="1" applyAlignment="1" applyProtection="1">
      <alignment horizontal="center" vertical="center"/>
      <protection hidden="1"/>
    </xf>
    <xf numFmtId="0" fontId="17" fillId="0" borderId="20" xfId="0" applyFont="1" applyFill="1" applyBorder="1" applyAlignment="1" applyProtection="1">
      <alignment horizontal="center" vertical="center"/>
      <protection hidden="1"/>
    </xf>
    <xf numFmtId="0" fontId="2" fillId="0" borderId="6" xfId="0" applyFont="1" applyBorder="1" applyAlignment="1" applyProtection="1">
      <alignment horizontal="center" vertical="center"/>
      <protection locked="0"/>
    </xf>
    <xf numFmtId="0" fontId="2" fillId="0" borderId="25" xfId="0" applyFont="1" applyBorder="1" applyAlignment="1" applyProtection="1">
      <alignment horizontal="justify" vertical="center"/>
      <protection locked="0"/>
    </xf>
    <xf numFmtId="0" fontId="3" fillId="27" borderId="13" xfId="0" applyNumberFormat="1" applyFont="1" applyFill="1" applyBorder="1" applyAlignment="1" applyProtection="1">
      <alignment horizontal="center" vertical="center"/>
      <protection locked="0"/>
    </xf>
    <xf numFmtId="0" fontId="58" fillId="0" borderId="13" xfId="0" applyNumberFormat="1" applyFont="1" applyFill="1" applyBorder="1" applyAlignment="1" applyProtection="1">
      <alignment horizontal="center" vertical="center"/>
      <protection hidden="1"/>
    </xf>
    <xf numFmtId="0" fontId="4" fillId="0" borderId="33" xfId="0" quotePrefix="1" applyFont="1" applyBorder="1" applyAlignment="1" applyProtection="1">
      <alignment horizontal="center" vertical="center" wrapText="1"/>
      <protection locked="0"/>
    </xf>
    <xf numFmtId="0" fontId="3" fillId="0" borderId="35" xfId="0" quotePrefix="1" applyFont="1" applyBorder="1" applyAlignment="1" applyProtection="1">
      <alignment horizontal="center" vertical="center" wrapText="1"/>
      <protection locked="0"/>
    </xf>
    <xf numFmtId="0" fontId="3" fillId="0" borderId="36" xfId="0" quotePrefix="1" applyFont="1" applyBorder="1" applyAlignment="1" applyProtection="1">
      <alignment horizontal="center" vertical="center" wrapText="1"/>
      <protection locked="0"/>
    </xf>
    <xf numFmtId="0" fontId="3" fillId="0" borderId="37" xfId="0" quotePrefix="1" applyFont="1" applyBorder="1" applyAlignment="1" applyProtection="1">
      <alignment horizontal="center" vertical="center" wrapText="1"/>
      <protection locked="0"/>
    </xf>
    <xf numFmtId="0" fontId="3" fillId="0" borderId="33" xfId="0" quotePrefix="1" applyFont="1" applyBorder="1" applyAlignment="1" applyProtection="1">
      <alignment horizontal="center" vertical="center" wrapText="1"/>
      <protection locked="0"/>
    </xf>
    <xf numFmtId="0" fontId="3" fillId="0" borderId="38" xfId="0" quotePrefix="1" applyFont="1" applyBorder="1" applyAlignment="1" applyProtection="1">
      <alignment horizontal="center"/>
      <protection locked="0"/>
    </xf>
    <xf numFmtId="0" fontId="17" fillId="0" borderId="34" xfId="0" applyFont="1" applyFill="1" applyBorder="1" applyAlignment="1" applyProtection="1">
      <alignment horizontal="center" vertical="center"/>
      <protection hidden="1"/>
    </xf>
    <xf numFmtId="0" fontId="58" fillId="0" borderId="39" xfId="0" applyFont="1" applyBorder="1" applyAlignment="1" applyProtection="1">
      <alignment vertical="center" shrinkToFit="1"/>
      <protection hidden="1"/>
    </xf>
    <xf numFmtId="0" fontId="58" fillId="0" borderId="40" xfId="0" applyFont="1" applyBorder="1" applyAlignment="1" applyProtection="1">
      <alignment vertical="center" shrinkToFit="1"/>
      <protection hidden="1"/>
    </xf>
    <xf numFmtId="0" fontId="58" fillId="0" borderId="39" xfId="0" applyFont="1" applyBorder="1" applyAlignment="1" applyProtection="1">
      <alignment vertical="center"/>
      <protection locked="0"/>
    </xf>
    <xf numFmtId="0" fontId="58" fillId="0" borderId="41" xfId="0" applyFont="1" applyBorder="1" applyAlignment="1" applyProtection="1">
      <alignment vertical="center"/>
      <protection locked="0"/>
    </xf>
    <xf numFmtId="0" fontId="58" fillId="0" borderId="42" xfId="0" applyFont="1" applyBorder="1" applyAlignment="1" applyProtection="1">
      <alignment vertical="center"/>
      <protection locked="0"/>
    </xf>
    <xf numFmtId="164" fontId="58" fillId="0" borderId="43" xfId="0" applyNumberFormat="1" applyFont="1" applyBorder="1" applyAlignment="1" applyProtection="1">
      <alignment horizontal="center" vertical="center"/>
      <protection hidden="1"/>
    </xf>
    <xf numFmtId="164" fontId="58" fillId="0" borderId="44" xfId="0" applyNumberFormat="1" applyFont="1" applyBorder="1" applyAlignment="1" applyProtection="1">
      <alignment horizontal="center" vertical="center"/>
      <protection hidden="1"/>
    </xf>
    <xf numFmtId="164" fontId="58" fillId="0" borderId="44" xfId="0" applyNumberFormat="1" applyFont="1" applyBorder="1" applyAlignment="1" applyProtection="1">
      <alignment horizontal="center" vertical="center"/>
      <protection locked="0"/>
    </xf>
    <xf numFmtId="164" fontId="58" fillId="0" borderId="42" xfId="0" applyNumberFormat="1" applyFont="1" applyBorder="1" applyAlignment="1" applyProtection="1">
      <alignment horizontal="center" vertical="center"/>
      <protection hidden="1"/>
    </xf>
    <xf numFmtId="164" fontId="58" fillId="0" borderId="41" xfId="0" applyNumberFormat="1" applyFont="1" applyBorder="1" applyAlignment="1" applyProtection="1">
      <alignment horizontal="center" vertical="center"/>
      <protection hidden="1"/>
    </xf>
    <xf numFmtId="0" fontId="58" fillId="0" borderId="34" xfId="0" applyNumberFormat="1" applyFont="1" applyBorder="1" applyAlignment="1" applyProtection="1">
      <alignment horizontal="center" vertical="center"/>
      <protection locked="0"/>
    </xf>
    <xf numFmtId="0" fontId="2" fillId="0" borderId="4" xfId="0" applyFont="1" applyBorder="1" applyAlignment="1" applyProtection="1">
      <alignment horizontal="center" vertical="center"/>
      <protection locked="0"/>
    </xf>
    <xf numFmtId="0" fontId="17" fillId="0" borderId="25" xfId="0" applyFont="1" applyFill="1" applyBorder="1" applyAlignment="1" applyProtection="1">
      <alignment horizontal="center" vertical="center"/>
      <protection hidden="1"/>
    </xf>
    <xf numFmtId="0" fontId="58" fillId="0" borderId="21" xfId="0" applyFont="1" applyBorder="1" applyAlignment="1" applyProtection="1">
      <alignment vertical="center" shrinkToFit="1"/>
      <protection hidden="1"/>
    </xf>
    <xf numFmtId="0" fontId="58" fillId="0" borderId="45" xfId="0" applyFont="1" applyBorder="1" applyAlignment="1" applyProtection="1">
      <alignment vertical="center" shrinkToFit="1"/>
      <protection hidden="1"/>
    </xf>
    <xf numFmtId="164" fontId="58" fillId="0" borderId="46" xfId="0" applyNumberFormat="1" applyFont="1" applyBorder="1" applyAlignment="1" applyProtection="1">
      <alignment horizontal="center" vertical="center"/>
      <protection hidden="1"/>
    </xf>
    <xf numFmtId="164" fontId="58" fillId="0" borderId="24" xfId="0" applyNumberFormat="1" applyFont="1" applyBorder="1" applyAlignment="1" applyProtection="1">
      <alignment horizontal="center" vertical="center"/>
      <protection hidden="1"/>
    </xf>
    <xf numFmtId="164" fontId="58" fillId="0" borderId="42" xfId="0" applyNumberFormat="1" applyFont="1" applyBorder="1" applyAlignment="1" applyProtection="1">
      <alignment horizontal="center" vertical="center"/>
      <protection locked="0"/>
    </xf>
    <xf numFmtId="164" fontId="58" fillId="0" borderId="41" xfId="0" applyNumberFormat="1" applyFont="1" applyBorder="1" applyAlignment="1" applyProtection="1">
      <alignment horizontal="center" vertical="center"/>
      <protection locked="0"/>
    </xf>
    <xf numFmtId="164" fontId="58" fillId="0" borderId="19" xfId="0" applyNumberFormat="1" applyFont="1" applyBorder="1" applyAlignment="1" applyProtection="1">
      <alignment horizontal="center" vertical="center"/>
      <protection locked="0"/>
    </xf>
    <xf numFmtId="164" fontId="58" fillId="0" borderId="18" xfId="0" applyNumberFormat="1" applyFont="1" applyBorder="1" applyAlignment="1" applyProtection="1">
      <alignment horizontal="center" vertical="center"/>
      <protection locked="0"/>
    </xf>
    <xf numFmtId="164" fontId="58" fillId="0" borderId="23" xfId="0" applyNumberFormat="1" applyFont="1" applyBorder="1" applyAlignment="1" applyProtection="1">
      <alignment horizontal="center" vertical="center"/>
      <protection locked="0"/>
    </xf>
    <xf numFmtId="164" fontId="58" fillId="0" borderId="22" xfId="0" applyNumberFormat="1" applyFont="1" applyBorder="1" applyAlignment="1" applyProtection="1">
      <alignment horizontal="center" vertical="center"/>
      <protection locked="0"/>
    </xf>
    <xf numFmtId="0" fontId="58" fillId="0" borderId="6" xfId="0" applyFont="1" applyBorder="1" applyAlignment="1" applyProtection="1">
      <alignment vertical="center"/>
      <protection hidden="1"/>
    </xf>
    <xf numFmtId="0" fontId="85" fillId="0" borderId="0" xfId="0" applyFont="1" applyProtection="1">
      <protection locked="0"/>
    </xf>
    <xf numFmtId="0" fontId="86" fillId="0" borderId="0" xfId="0" applyFont="1" applyBorder="1" applyAlignment="1" applyProtection="1">
      <alignment horizontal="right"/>
      <protection locked="0"/>
    </xf>
    <xf numFmtId="0" fontId="85" fillId="0" borderId="0" xfId="0" applyFont="1" applyFill="1" applyProtection="1">
      <protection locked="0"/>
    </xf>
    <xf numFmtId="0" fontId="87" fillId="0" borderId="0" xfId="0" applyFont="1" applyFill="1" applyBorder="1" applyAlignment="1" applyProtection="1">
      <protection locked="0"/>
    </xf>
    <xf numFmtId="0" fontId="22" fillId="0" borderId="6" xfId="0" applyFont="1" applyFill="1" applyBorder="1" applyAlignment="1" applyProtection="1">
      <alignment horizontal="left" vertical="center" wrapText="1"/>
      <protection hidden="1"/>
    </xf>
    <xf numFmtId="0" fontId="88" fillId="0" borderId="0" xfId="0" applyFont="1" applyFill="1" applyAlignment="1" applyProtection="1">
      <alignment vertical="center"/>
      <protection hidden="1"/>
    </xf>
    <xf numFmtId="0" fontId="4" fillId="0" borderId="48" xfId="0" quotePrefix="1" applyFont="1" applyBorder="1" applyAlignment="1" applyProtection="1">
      <alignment horizontal="center" vertical="center" wrapText="1"/>
      <protection locked="0"/>
    </xf>
    <xf numFmtId="0" fontId="7" fillId="30" borderId="0" xfId="0" applyFont="1" applyFill="1" applyAlignment="1" applyProtection="1">
      <alignment vertical="center"/>
      <protection locked="0"/>
    </xf>
    <xf numFmtId="0" fontId="7" fillId="30" borderId="0" xfId="0" applyFont="1" applyFill="1" applyAlignment="1" applyProtection="1">
      <alignment horizontal="center" vertical="center"/>
      <protection locked="0"/>
    </xf>
    <xf numFmtId="0" fontId="5" fillId="30" borderId="0" xfId="0" applyFont="1" applyFill="1" applyAlignment="1" applyProtection="1">
      <alignment vertical="center"/>
      <protection locked="0"/>
    </xf>
    <xf numFmtId="0" fontId="15" fillId="30" borderId="0" xfId="0" applyFont="1" applyFill="1" applyAlignment="1" applyProtection="1">
      <alignment horizontal="center" vertical="center"/>
      <protection locked="0"/>
    </xf>
    <xf numFmtId="0" fontId="7" fillId="30" borderId="0" xfId="0" applyFont="1" applyFill="1" applyBorder="1" applyAlignment="1" applyProtection="1">
      <alignment horizontal="center" vertical="center"/>
      <protection locked="0"/>
    </xf>
    <xf numFmtId="0" fontId="14" fillId="30" borderId="0" xfId="0" applyFont="1" applyFill="1" applyBorder="1" applyAlignment="1" applyProtection="1">
      <alignment horizontal="center" vertical="center" wrapText="1"/>
      <protection locked="0"/>
    </xf>
    <xf numFmtId="0" fontId="15" fillId="30" borderId="0" xfId="0" applyFont="1" applyFill="1" applyBorder="1" applyAlignment="1" applyProtection="1">
      <alignment horizontal="center" vertical="center"/>
      <protection locked="0"/>
    </xf>
    <xf numFmtId="0" fontId="7" fillId="30" borderId="0" xfId="0" applyFont="1" applyFill="1" applyBorder="1" applyAlignment="1" applyProtection="1">
      <alignment vertical="center"/>
      <protection locked="0"/>
    </xf>
    <xf numFmtId="0" fontId="2" fillId="30" borderId="0" xfId="0" applyFont="1" applyFill="1" applyAlignment="1" applyProtection="1">
      <alignment vertical="center"/>
      <protection locked="0"/>
    </xf>
    <xf numFmtId="0" fontId="2" fillId="30" borderId="0" xfId="0" applyFont="1" applyFill="1" applyBorder="1" applyAlignment="1" applyProtection="1">
      <alignment horizontal="center" vertical="center" wrapText="1"/>
      <protection locked="0"/>
    </xf>
    <xf numFmtId="0" fontId="3" fillId="31" borderId="30" xfId="0" applyFont="1" applyFill="1" applyBorder="1" applyAlignment="1" applyProtection="1">
      <alignment horizontal="center" vertical="center"/>
      <protection locked="0"/>
    </xf>
    <xf numFmtId="0" fontId="3" fillId="31" borderId="30" xfId="0" applyFont="1" applyFill="1" applyBorder="1" applyAlignment="1" applyProtection="1">
      <alignment horizontal="center" vertical="center" wrapText="1"/>
      <protection locked="0"/>
    </xf>
    <xf numFmtId="0" fontId="2" fillId="30" borderId="49" xfId="0" applyFont="1" applyFill="1" applyBorder="1" applyAlignment="1" applyProtection="1">
      <alignment horizontal="center" vertical="center" wrapText="1"/>
      <protection locked="0"/>
    </xf>
    <xf numFmtId="0" fontId="2" fillId="30" borderId="49" xfId="52" applyFont="1" applyFill="1" applyBorder="1" applyAlignment="1" applyProtection="1">
      <alignment horizontal="center" vertical="center" wrapText="1"/>
      <protection locked="0"/>
    </xf>
    <xf numFmtId="0" fontId="15" fillId="0" borderId="49" xfId="0" applyFont="1" applyFill="1" applyBorder="1" applyAlignment="1">
      <alignment horizontal="center" vertical="center"/>
    </xf>
    <xf numFmtId="0" fontId="15" fillId="0" borderId="49" xfId="0" applyFont="1" applyBorder="1" applyAlignment="1">
      <alignment horizontal="center" vertical="center"/>
    </xf>
    <xf numFmtId="0" fontId="2" fillId="30" borderId="49" xfId="47" applyFont="1" applyFill="1" applyBorder="1" applyAlignment="1" applyProtection="1">
      <alignment horizontal="center" vertical="center" wrapText="1"/>
      <protection locked="0"/>
    </xf>
    <xf numFmtId="0" fontId="2" fillId="31" borderId="49" xfId="47" applyFont="1" applyFill="1" applyBorder="1" applyAlignment="1" applyProtection="1">
      <alignment horizontal="center" vertical="center" wrapText="1"/>
      <protection locked="0"/>
    </xf>
    <xf numFmtId="0" fontId="2" fillId="30" borderId="50" xfId="0" applyFont="1" applyFill="1" applyBorder="1" applyAlignment="1" applyProtection="1">
      <alignment horizontal="center" vertical="center" wrapText="1"/>
      <protection locked="0"/>
    </xf>
    <xf numFmtId="0" fontId="2" fillId="30" borderId="50" xfId="52" applyFont="1" applyFill="1" applyBorder="1" applyAlignment="1" applyProtection="1">
      <alignment horizontal="center" vertical="center" wrapText="1"/>
      <protection locked="0"/>
    </xf>
    <xf numFmtId="0" fontId="2" fillId="30" borderId="51" xfId="0" applyFont="1" applyFill="1" applyBorder="1" applyAlignment="1" applyProtection="1">
      <alignment horizontal="center" vertical="center" wrapText="1"/>
      <protection locked="0"/>
    </xf>
    <xf numFmtId="0" fontId="2" fillId="30" borderId="51" xfId="52" applyFont="1" applyFill="1" applyBorder="1" applyAlignment="1" applyProtection="1">
      <alignment horizontal="center" vertical="center" wrapText="1"/>
      <protection locked="0"/>
    </xf>
    <xf numFmtId="0" fontId="15" fillId="0" borderId="51" xfId="0" applyFont="1" applyFill="1" applyBorder="1" applyAlignment="1">
      <alignment horizontal="center" vertical="center"/>
    </xf>
    <xf numFmtId="0" fontId="15" fillId="0" borderId="51" xfId="0" applyFont="1" applyBorder="1" applyAlignment="1">
      <alignment horizontal="center" vertical="center"/>
    </xf>
    <xf numFmtId="0" fontId="2" fillId="30" borderId="52" xfId="0" applyFont="1" applyFill="1" applyBorder="1" applyAlignment="1" applyProtection="1">
      <alignment horizontal="center" vertical="center" wrapText="1"/>
      <protection locked="0"/>
    </xf>
    <xf numFmtId="0" fontId="2" fillId="30" borderId="52" xfId="52" applyFont="1" applyFill="1" applyBorder="1" applyAlignment="1" applyProtection="1">
      <alignment horizontal="center" vertical="center" wrapText="1"/>
      <protection locked="0"/>
    </xf>
    <xf numFmtId="0" fontId="15" fillId="0" borderId="52" xfId="0" applyFont="1" applyFill="1" applyBorder="1" applyAlignment="1">
      <alignment horizontal="center" vertical="center"/>
    </xf>
    <xf numFmtId="0" fontId="15" fillId="0" borderId="52" xfId="0" applyFont="1" applyBorder="1" applyAlignment="1">
      <alignment horizontal="center" vertical="center"/>
    </xf>
    <xf numFmtId="0" fontId="2" fillId="30" borderId="53" xfId="0" applyFont="1" applyFill="1" applyBorder="1" applyAlignment="1" applyProtection="1">
      <alignment horizontal="center" vertical="center" wrapText="1"/>
      <protection locked="0"/>
    </xf>
    <xf numFmtId="0" fontId="2" fillId="30" borderId="53" xfId="52" applyFont="1" applyFill="1" applyBorder="1" applyAlignment="1" applyProtection="1">
      <alignment horizontal="center" vertical="center" wrapText="1"/>
      <protection locked="0"/>
    </xf>
    <xf numFmtId="0" fontId="15" fillId="0" borderId="53" xfId="0" applyFont="1" applyBorder="1" applyAlignment="1">
      <alignment horizontal="center" vertical="center"/>
    </xf>
    <xf numFmtId="0" fontId="15" fillId="30" borderId="0" xfId="0" applyFont="1" applyFill="1" applyAlignment="1" applyProtection="1">
      <alignment horizontal="left" vertical="center"/>
      <protection locked="0"/>
    </xf>
    <xf numFmtId="0" fontId="15" fillId="0" borderId="52" xfId="0" applyFont="1" applyFill="1" applyBorder="1" applyAlignment="1">
      <alignment horizontal="left" vertical="center"/>
    </xf>
    <xf numFmtId="0" fontId="15" fillId="0" borderId="49" xfId="0" applyFont="1" applyFill="1" applyBorder="1" applyAlignment="1">
      <alignment horizontal="left" vertical="center"/>
    </xf>
    <xf numFmtId="0" fontId="15" fillId="32" borderId="49" xfId="0" applyFont="1" applyFill="1" applyBorder="1" applyAlignment="1">
      <alignment horizontal="left" vertical="center"/>
    </xf>
    <xf numFmtId="0" fontId="15" fillId="30" borderId="49" xfId="0" applyFont="1" applyFill="1" applyBorder="1" applyAlignment="1" applyProtection="1">
      <alignment vertical="center"/>
      <protection locked="0"/>
    </xf>
    <xf numFmtId="0" fontId="15" fillId="30" borderId="49" xfId="0" applyFont="1" applyFill="1" applyBorder="1" applyAlignment="1">
      <alignment horizontal="left" vertical="center"/>
    </xf>
    <xf numFmtId="0" fontId="15" fillId="0" borderId="49" xfId="0" applyFont="1" applyBorder="1" applyAlignment="1">
      <alignment horizontal="left" vertical="center"/>
    </xf>
    <xf numFmtId="0" fontId="15" fillId="0" borderId="53" xfId="0" applyFont="1" applyBorder="1" applyAlignment="1">
      <alignment horizontal="left" vertical="center"/>
    </xf>
    <xf numFmtId="0" fontId="15" fillId="0" borderId="49" xfId="0" applyFont="1" applyBorder="1" applyAlignment="1">
      <alignment horizontal="left" vertical="center" wrapText="1"/>
    </xf>
    <xf numFmtId="0" fontId="15" fillId="30" borderId="49" xfId="51" applyFont="1" applyFill="1" applyBorder="1" applyAlignment="1" applyProtection="1">
      <alignment horizontal="left" vertical="center"/>
      <protection hidden="1"/>
    </xf>
    <xf numFmtId="0" fontId="15" fillId="30" borderId="53" xfId="51" applyFont="1" applyFill="1" applyBorder="1" applyAlignment="1" applyProtection="1">
      <alignment horizontal="left" vertical="center"/>
      <protection hidden="1"/>
    </xf>
    <xf numFmtId="0" fontId="15" fillId="0" borderId="52" xfId="0" applyFont="1" applyBorder="1" applyAlignment="1">
      <alignment horizontal="left" vertical="center"/>
    </xf>
    <xf numFmtId="0" fontId="15" fillId="30" borderId="49" xfId="52" applyFont="1" applyFill="1" applyBorder="1" applyAlignment="1" applyProtection="1">
      <alignment horizontal="left" vertical="center"/>
      <protection locked="0"/>
    </xf>
    <xf numFmtId="0" fontId="15" fillId="30" borderId="53" xfId="0" applyFont="1" applyFill="1" applyBorder="1" applyAlignment="1">
      <alignment horizontal="left" vertical="center"/>
    </xf>
    <xf numFmtId="0" fontId="15" fillId="32" borderId="52" xfId="0" applyFont="1" applyFill="1" applyBorder="1" applyAlignment="1">
      <alignment horizontal="left" vertical="center"/>
    </xf>
    <xf numFmtId="0" fontId="15" fillId="30" borderId="53" xfId="52" applyFont="1" applyFill="1" applyBorder="1" applyAlignment="1" applyProtection="1">
      <alignment horizontal="left" vertical="center"/>
      <protection locked="0"/>
    </xf>
    <xf numFmtId="0" fontId="15" fillId="32" borderId="51" xfId="0" applyFont="1" applyFill="1" applyBorder="1" applyAlignment="1">
      <alignment horizontal="left" vertical="center"/>
    </xf>
    <xf numFmtId="0" fontId="15" fillId="30" borderId="50" xfId="52" applyFont="1" applyFill="1" applyBorder="1" applyAlignment="1" applyProtection="1">
      <alignment horizontal="left" vertical="center"/>
      <protection locked="0"/>
    </xf>
    <xf numFmtId="0" fontId="76" fillId="30" borderId="0" xfId="0" applyFont="1" applyFill="1" applyBorder="1" applyAlignment="1" applyProtection="1">
      <alignment horizontal="left" vertical="center"/>
      <protection locked="0"/>
    </xf>
    <xf numFmtId="0" fontId="15" fillId="30" borderId="0" xfId="0" applyFont="1" applyFill="1" applyAlignment="1" applyProtection="1">
      <alignment vertical="center"/>
      <protection locked="0"/>
    </xf>
    <xf numFmtId="0" fontId="77" fillId="30" borderId="0" xfId="0" applyFont="1" applyFill="1" applyAlignment="1" applyProtection="1">
      <alignment horizontal="center" vertical="center"/>
      <protection locked="0"/>
    </xf>
    <xf numFmtId="0" fontId="14" fillId="30" borderId="52" xfId="52" applyFont="1" applyFill="1" applyBorder="1" applyAlignment="1" applyProtection="1">
      <alignment horizontal="center" vertical="center"/>
      <protection hidden="1"/>
    </xf>
    <xf numFmtId="165" fontId="78" fillId="30" borderId="52" xfId="28" applyNumberFormat="1" applyFont="1" applyFill="1" applyBorder="1" applyAlignment="1" applyProtection="1">
      <alignment horizontal="center" vertical="center"/>
      <protection locked="0"/>
    </xf>
    <xf numFmtId="0" fontId="14" fillId="30" borderId="49" xfId="52" applyFont="1" applyFill="1" applyBorder="1" applyAlignment="1" applyProtection="1">
      <alignment horizontal="center" vertical="center"/>
      <protection hidden="1"/>
    </xf>
    <xf numFmtId="165" fontId="78" fillId="30" borderId="49" xfId="28" applyNumberFormat="1" applyFont="1" applyFill="1" applyBorder="1" applyAlignment="1" applyProtection="1">
      <alignment horizontal="center" vertical="center"/>
      <protection locked="0"/>
    </xf>
    <xf numFmtId="0" fontId="15" fillId="30" borderId="49" xfId="0" applyFont="1" applyFill="1" applyBorder="1" applyAlignment="1">
      <alignment horizontal="center" vertical="center"/>
    </xf>
    <xf numFmtId="0" fontId="14" fillId="30" borderId="53" xfId="52" applyFont="1" applyFill="1" applyBorder="1" applyAlignment="1" applyProtection="1">
      <alignment horizontal="center" vertical="center"/>
      <protection hidden="1"/>
    </xf>
    <xf numFmtId="0" fontId="15" fillId="30" borderId="53" xfId="51" applyFont="1" applyFill="1" applyBorder="1" applyAlignment="1" applyProtection="1">
      <alignment horizontal="center" vertical="center"/>
      <protection hidden="1"/>
    </xf>
    <xf numFmtId="165" fontId="78" fillId="30" borderId="53" xfId="28" applyNumberFormat="1" applyFont="1" applyFill="1" applyBorder="1" applyAlignment="1" applyProtection="1">
      <alignment horizontal="center" vertical="center"/>
      <protection locked="0"/>
    </xf>
    <xf numFmtId="0" fontId="15" fillId="30" borderId="52" xfId="0" applyFont="1" applyFill="1" applyBorder="1" applyAlignment="1">
      <alignment horizontal="center" vertical="center"/>
    </xf>
    <xf numFmtId="0" fontId="15" fillId="30" borderId="49" xfId="51" applyFont="1" applyFill="1" applyBorder="1" applyAlignment="1" applyProtection="1">
      <alignment horizontal="center" vertical="center"/>
      <protection hidden="1"/>
    </xf>
    <xf numFmtId="0" fontId="15" fillId="30" borderId="49" xfId="52" applyFont="1" applyFill="1" applyBorder="1" applyAlignment="1" applyProtection="1">
      <alignment horizontal="center" vertical="center"/>
      <protection locked="0"/>
    </xf>
    <xf numFmtId="0" fontId="15" fillId="30" borderId="53" xfId="0" applyFont="1" applyFill="1" applyBorder="1" applyAlignment="1">
      <alignment horizontal="center" vertical="center"/>
    </xf>
    <xf numFmtId="0" fontId="15" fillId="30" borderId="53" xfId="52" applyFont="1" applyFill="1" applyBorder="1" applyAlignment="1" applyProtection="1">
      <alignment horizontal="center" vertical="center"/>
      <protection locked="0"/>
    </xf>
    <xf numFmtId="0" fontId="14" fillId="30" borderId="51" xfId="52" applyFont="1" applyFill="1" applyBorder="1" applyAlignment="1" applyProtection="1">
      <alignment horizontal="center" vertical="center"/>
      <protection hidden="1"/>
    </xf>
    <xf numFmtId="165" fontId="78" fillId="30" borderId="51" xfId="28" applyNumberFormat="1" applyFont="1" applyFill="1" applyBorder="1" applyAlignment="1" applyProtection="1">
      <alignment horizontal="center" vertical="center"/>
      <protection locked="0"/>
    </xf>
    <xf numFmtId="0" fontId="14" fillId="30" borderId="50" xfId="52" applyFont="1" applyFill="1" applyBorder="1" applyAlignment="1" applyProtection="1">
      <alignment horizontal="center" vertical="center"/>
      <protection hidden="1"/>
    </xf>
    <xf numFmtId="0" fontId="15" fillId="30" borderId="50" xfId="52" applyFont="1" applyFill="1" applyBorder="1" applyAlignment="1" applyProtection="1">
      <alignment horizontal="center" vertical="center"/>
      <protection locked="0"/>
    </xf>
    <xf numFmtId="165" fontId="78" fillId="30" borderId="50" xfId="28" applyNumberFormat="1" applyFont="1" applyFill="1" applyBorder="1" applyAlignment="1" applyProtection="1">
      <alignment horizontal="center" vertical="center"/>
      <protection locked="0"/>
    </xf>
    <xf numFmtId="165" fontId="78" fillId="30" borderId="0" xfId="28" applyNumberFormat="1" applyFont="1" applyFill="1" applyBorder="1" applyAlignment="1" applyProtection="1">
      <alignment horizontal="center" vertical="center"/>
      <protection locked="0"/>
    </xf>
    <xf numFmtId="0" fontId="3" fillId="30" borderId="0" xfId="0" applyFont="1" applyFill="1" applyAlignment="1" applyProtection="1">
      <alignment vertical="center"/>
      <protection locked="0"/>
    </xf>
    <xf numFmtId="0" fontId="14" fillId="30" borderId="0" xfId="0" applyFont="1" applyFill="1" applyAlignment="1" applyProtection="1">
      <alignment horizontal="center" vertical="center"/>
      <protection locked="0"/>
    </xf>
    <xf numFmtId="0" fontId="68" fillId="30" borderId="0" xfId="0" applyFont="1" applyFill="1" applyBorder="1" applyAlignment="1" applyProtection="1">
      <alignment horizontal="center" vertical="center"/>
      <protection locked="0"/>
    </xf>
    <xf numFmtId="0" fontId="3" fillId="31" borderId="6" xfId="47" applyFont="1" applyFill="1" applyBorder="1" applyAlignment="1" applyProtection="1">
      <alignment horizontal="center" vertical="center" wrapText="1"/>
      <protection locked="0"/>
    </xf>
    <xf numFmtId="0" fontId="3" fillId="30" borderId="0" xfId="0" applyFont="1" applyFill="1" applyBorder="1" applyAlignment="1" applyProtection="1">
      <alignment horizontal="center" vertical="center"/>
      <protection hidden="1"/>
    </xf>
    <xf numFmtId="0" fontId="3" fillId="0" borderId="30" xfId="0" applyFont="1" applyBorder="1" applyAlignment="1" applyProtection="1">
      <alignment horizontal="center" vertical="center"/>
      <protection hidden="1"/>
    </xf>
    <xf numFmtId="0" fontId="3" fillId="0" borderId="54" xfId="0" applyFont="1" applyBorder="1" applyAlignment="1" applyProtection="1">
      <alignment horizontal="center" vertical="center"/>
      <protection hidden="1"/>
    </xf>
    <xf numFmtId="0" fontId="3" fillId="0" borderId="55" xfId="0" applyFont="1" applyBorder="1" applyAlignment="1" applyProtection="1">
      <alignment horizontal="center" vertical="center"/>
      <protection hidden="1"/>
    </xf>
    <xf numFmtId="0" fontId="3" fillId="31" borderId="30" xfId="0" applyFont="1" applyFill="1" applyBorder="1" applyAlignment="1" applyProtection="1">
      <alignment horizontal="center" vertical="center"/>
      <protection hidden="1"/>
    </xf>
    <xf numFmtId="0" fontId="7" fillId="0" borderId="56" xfId="0" applyFont="1" applyBorder="1" applyAlignment="1">
      <alignment horizontal="center" vertical="center"/>
    </xf>
    <xf numFmtId="0" fontId="7" fillId="31" borderId="56" xfId="0" applyFont="1" applyFill="1" applyBorder="1" applyAlignment="1">
      <alignment horizontal="center" vertical="center"/>
    </xf>
    <xf numFmtId="0" fontId="79" fillId="0" borderId="56" xfId="0" applyFont="1" applyBorder="1" applyAlignment="1">
      <alignment vertical="center"/>
    </xf>
    <xf numFmtId="0" fontId="7" fillId="0" borderId="49" xfId="0" applyFont="1" applyBorder="1" applyAlignment="1">
      <alignment horizontal="center" vertical="center"/>
    </xf>
    <xf numFmtId="0" fontId="79" fillId="0" borderId="49" xfId="0" applyFont="1" applyBorder="1" applyAlignment="1">
      <alignment vertical="center"/>
    </xf>
    <xf numFmtId="0" fontId="79" fillId="0" borderId="49" xfId="0" applyFont="1" applyBorder="1" applyAlignment="1">
      <alignment horizontal="center" vertical="center"/>
    </xf>
    <xf numFmtId="0" fontId="79" fillId="0" borderId="49" xfId="0" applyFont="1" applyBorder="1" applyAlignment="1">
      <alignment horizontal="left" vertical="center"/>
    </xf>
    <xf numFmtId="49" fontId="79" fillId="0" borderId="49" xfId="0" applyNumberFormat="1" applyFont="1" applyBorder="1" applyAlignment="1">
      <alignment vertical="center"/>
    </xf>
    <xf numFmtId="0" fontId="90" fillId="0" borderId="6" xfId="0" applyFont="1" applyBorder="1" applyAlignment="1">
      <alignment horizontal="center" vertical="center"/>
    </xf>
    <xf numFmtId="0" fontId="91" fillId="0" borderId="49" xfId="0" applyFont="1" applyBorder="1" applyAlignment="1">
      <alignment horizontal="left" vertical="center"/>
    </xf>
    <xf numFmtId="49" fontId="91" fillId="0" borderId="49" xfId="0" applyNumberFormat="1" applyFont="1" applyBorder="1" applyAlignment="1">
      <alignment horizontal="left" vertical="center"/>
    </xf>
    <xf numFmtId="0" fontId="7" fillId="0" borderId="53" xfId="0" applyFont="1" applyBorder="1" applyAlignment="1">
      <alignment horizontal="center" vertical="center"/>
    </xf>
    <xf numFmtId="0" fontId="79" fillId="0" borderId="53" xfId="0" applyFont="1" applyBorder="1" applyAlignment="1">
      <alignment vertical="center"/>
    </xf>
    <xf numFmtId="0" fontId="7" fillId="0" borderId="51" xfId="0" applyFont="1" applyBorder="1" applyAlignment="1">
      <alignment horizontal="center" vertical="center"/>
    </xf>
    <xf numFmtId="0" fontId="7" fillId="31" borderId="51" xfId="0" applyFont="1" applyFill="1" applyBorder="1" applyAlignment="1">
      <alignment horizontal="center" vertical="center"/>
    </xf>
    <xf numFmtId="0" fontId="79" fillId="0" borderId="51" xfId="0" applyFont="1" applyBorder="1" applyAlignment="1">
      <alignment horizontal="left" vertical="center"/>
    </xf>
    <xf numFmtId="49" fontId="80" fillId="0" borderId="49" xfId="0" applyNumberFormat="1" applyFont="1" applyBorder="1" applyAlignment="1">
      <alignment horizontal="left" vertical="center"/>
    </xf>
    <xf numFmtId="0" fontId="7" fillId="0" borderId="49" xfId="0" applyFont="1" applyBorder="1" applyAlignment="1">
      <alignment horizontal="left" vertical="center"/>
    </xf>
    <xf numFmtId="0" fontId="7" fillId="0" borderId="53" xfId="0" applyFont="1" applyBorder="1" applyAlignment="1">
      <alignment horizontal="left" vertical="center"/>
    </xf>
    <xf numFmtId="49" fontId="79" fillId="0" borderId="53" xfId="0" applyNumberFormat="1" applyFont="1" applyBorder="1" applyAlignment="1">
      <alignment horizontal="left" vertical="center"/>
    </xf>
    <xf numFmtId="0" fontId="79" fillId="0" borderId="51" xfId="0" applyFont="1" applyBorder="1" applyAlignment="1">
      <alignment vertical="center"/>
    </xf>
    <xf numFmtId="0" fontId="7" fillId="0" borderId="49" xfId="0" applyFont="1" applyBorder="1" applyAlignment="1">
      <alignment vertical="center"/>
    </xf>
    <xf numFmtId="0" fontId="79" fillId="0" borderId="53" xfId="0" applyFont="1" applyBorder="1" applyAlignment="1">
      <alignment horizontal="left" vertical="center"/>
    </xf>
    <xf numFmtId="49" fontId="79" fillId="0" borderId="49" xfId="0" applyNumberFormat="1" applyFont="1" applyBorder="1" applyAlignment="1">
      <alignment horizontal="left" vertical="center"/>
    </xf>
    <xf numFmtId="0" fontId="81" fillId="0" borderId="49" xfId="0" applyFont="1" applyBorder="1" applyAlignment="1">
      <alignment horizontal="left" vertical="center"/>
    </xf>
    <xf numFmtId="0" fontId="80" fillId="0" borderId="49" xfId="0" applyFont="1" applyBorder="1" applyAlignment="1">
      <alignment horizontal="left" vertical="center"/>
    </xf>
    <xf numFmtId="0" fontId="79" fillId="0" borderId="53" xfId="0" applyFont="1" applyBorder="1" applyAlignment="1">
      <alignment horizontal="center" vertical="center"/>
    </xf>
    <xf numFmtId="0" fontId="79" fillId="0" borderId="51" xfId="0" applyFont="1" applyBorder="1" applyAlignment="1">
      <alignment horizontal="center" vertical="center"/>
    </xf>
    <xf numFmtId="0" fontId="81" fillId="0" borderId="49" xfId="0" applyFont="1" applyBorder="1" applyAlignment="1">
      <alignment horizontal="center" vertical="center"/>
    </xf>
    <xf numFmtId="0" fontId="7" fillId="0" borderId="51" xfId="0" applyFont="1" applyBorder="1" applyAlignment="1">
      <alignment horizontal="left" vertical="center"/>
    </xf>
    <xf numFmtId="0" fontId="80" fillId="0" borderId="51" xfId="0" applyFont="1" applyBorder="1" applyAlignment="1">
      <alignment vertical="center"/>
    </xf>
    <xf numFmtId="0" fontId="7" fillId="30" borderId="51" xfId="0" applyFont="1" applyFill="1" applyBorder="1" applyAlignment="1">
      <alignment horizontal="center" vertical="center"/>
    </xf>
    <xf numFmtId="0" fontId="7" fillId="30" borderId="6" xfId="0" applyFont="1" applyFill="1" applyBorder="1" applyAlignment="1">
      <alignment horizontal="center" vertical="center"/>
    </xf>
    <xf numFmtId="0" fontId="79" fillId="30" borderId="51" xfId="0" applyFont="1" applyFill="1" applyBorder="1" applyAlignment="1">
      <alignment horizontal="left" vertical="center"/>
    </xf>
    <xf numFmtId="0" fontId="7" fillId="30" borderId="49" xfId="0" applyFont="1" applyFill="1" applyBorder="1" applyAlignment="1">
      <alignment horizontal="center" vertical="center"/>
    </xf>
    <xf numFmtId="0" fontId="79" fillId="30" borderId="49" xfId="0" applyFont="1" applyFill="1" applyBorder="1" applyAlignment="1">
      <alignment horizontal="left" vertical="center"/>
    </xf>
    <xf numFmtId="0" fontId="90" fillId="30" borderId="6" xfId="0" applyFont="1" applyFill="1" applyBorder="1" applyAlignment="1">
      <alignment horizontal="center" vertical="center"/>
    </xf>
    <xf numFmtId="0" fontId="81" fillId="30" borderId="49" xfId="0" applyFont="1" applyFill="1" applyBorder="1" applyAlignment="1">
      <alignment horizontal="left" vertical="center"/>
    </xf>
    <xf numFmtId="0" fontId="91" fillId="30" borderId="49" xfId="0" applyFont="1" applyFill="1" applyBorder="1" applyAlignment="1">
      <alignment horizontal="left" vertical="center"/>
    </xf>
    <xf numFmtId="0" fontId="80" fillId="30" borderId="49" xfId="0" applyFont="1" applyFill="1" applyBorder="1" applyAlignment="1">
      <alignment horizontal="left" vertical="center"/>
    </xf>
    <xf numFmtId="0" fontId="79" fillId="30" borderId="49" xfId="0" applyFont="1" applyFill="1" applyBorder="1" applyAlignment="1">
      <alignment horizontal="center" vertical="center"/>
    </xf>
    <xf numFmtId="14" fontId="7" fillId="0" borderId="53" xfId="0" applyNumberFormat="1" applyFont="1" applyBorder="1" applyAlignment="1">
      <alignment horizontal="center" vertical="center"/>
    </xf>
    <xf numFmtId="0" fontId="5" fillId="0" borderId="57" xfId="0" applyFont="1" applyBorder="1" applyAlignment="1">
      <alignment vertical="center"/>
    </xf>
    <xf numFmtId="0" fontId="5" fillId="0" borderId="58" xfId="0" applyFont="1" applyBorder="1" applyAlignment="1">
      <alignment vertical="center"/>
    </xf>
    <xf numFmtId="0" fontId="5" fillId="0" borderId="59" xfId="0" applyFont="1" applyBorder="1" applyAlignment="1">
      <alignment vertical="center"/>
    </xf>
    <xf numFmtId="0" fontId="5" fillId="0" borderId="60" xfId="0" applyFont="1" applyBorder="1" applyAlignment="1">
      <alignment vertical="center"/>
    </xf>
    <xf numFmtId="0" fontId="5" fillId="0" borderId="61" xfId="0" applyFont="1" applyBorder="1" applyAlignment="1">
      <alignment vertical="center"/>
    </xf>
    <xf numFmtId="0" fontId="5" fillId="0" borderId="62" xfId="0" applyFont="1" applyBorder="1" applyAlignment="1">
      <alignment vertical="center"/>
    </xf>
    <xf numFmtId="0" fontId="5" fillId="0" borderId="63" xfId="0" applyFont="1" applyBorder="1" applyAlignment="1">
      <alignment vertical="center"/>
    </xf>
    <xf numFmtId="0" fontId="5" fillId="0" borderId="64" xfId="0" applyFont="1" applyBorder="1" applyAlignment="1">
      <alignment vertical="center"/>
    </xf>
    <xf numFmtId="0" fontId="5" fillId="30" borderId="63" xfId="0" applyFont="1" applyFill="1" applyBorder="1" applyAlignment="1">
      <alignment vertical="center"/>
    </xf>
    <xf numFmtId="0" fontId="5" fillId="30" borderId="64" xfId="0" applyFont="1" applyFill="1" applyBorder="1" applyAlignment="1">
      <alignment vertical="center"/>
    </xf>
    <xf numFmtId="0" fontId="5" fillId="30" borderId="59" xfId="0" applyFont="1" applyFill="1" applyBorder="1" applyAlignment="1">
      <alignment vertical="center"/>
    </xf>
    <xf numFmtId="0" fontId="5" fillId="30" borderId="60" xfId="0" applyFont="1" applyFill="1" applyBorder="1" applyAlignment="1">
      <alignment vertical="center"/>
    </xf>
    <xf numFmtId="0" fontId="84" fillId="0" borderId="0" xfId="49" applyFont="1" applyFill="1" applyAlignment="1" applyProtection="1">
      <alignment horizontal="center" vertical="center"/>
      <protection locked="0"/>
    </xf>
    <xf numFmtId="164" fontId="58" fillId="0" borderId="65" xfId="0" applyNumberFormat="1" applyFont="1" applyBorder="1" applyAlignment="1" applyProtection="1">
      <alignment horizontal="center" vertical="center"/>
      <protection locked="0"/>
    </xf>
    <xf numFmtId="164" fontId="58" fillId="0" borderId="12" xfId="0" applyNumberFormat="1" applyFont="1" applyBorder="1" applyAlignment="1" applyProtection="1">
      <alignment horizontal="center" vertical="center"/>
      <protection locked="0"/>
    </xf>
    <xf numFmtId="164" fontId="58" fillId="0" borderId="66" xfId="0" applyNumberFormat="1" applyFont="1" applyBorder="1" applyAlignment="1" applyProtection="1">
      <alignment horizontal="center" vertical="center"/>
      <protection locked="0"/>
    </xf>
    <xf numFmtId="164" fontId="58" fillId="0" borderId="43" xfId="0" applyNumberFormat="1" applyFont="1" applyBorder="1" applyAlignment="1" applyProtection="1">
      <alignment horizontal="center" vertical="center"/>
      <protection locked="0"/>
    </xf>
    <xf numFmtId="164" fontId="58" fillId="0" borderId="13" xfId="0" applyNumberFormat="1" applyFont="1" applyBorder="1" applyAlignment="1" applyProtection="1">
      <alignment horizontal="center" vertical="center"/>
      <protection locked="0"/>
    </xf>
    <xf numFmtId="164" fontId="58" fillId="0" borderId="46" xfId="0" applyNumberFormat="1" applyFont="1" applyBorder="1" applyAlignment="1" applyProtection="1">
      <alignment horizontal="center" vertical="center"/>
      <protection locked="0"/>
    </xf>
    <xf numFmtId="0" fontId="19" fillId="30" borderId="28" xfId="0" applyFont="1" applyFill="1" applyBorder="1" applyAlignment="1" applyProtection="1">
      <alignment vertical="center"/>
      <protection hidden="1"/>
    </xf>
    <xf numFmtId="0" fontId="7" fillId="0" borderId="6" xfId="0" applyFont="1" applyBorder="1" applyAlignment="1" applyProtection="1">
      <alignment horizontal="center" vertical="center"/>
      <protection locked="0"/>
    </xf>
    <xf numFmtId="0" fontId="90" fillId="0" borderId="6" xfId="0" applyFont="1" applyBorder="1" applyAlignment="1" applyProtection="1">
      <alignment horizontal="center" vertical="center"/>
      <protection locked="0"/>
    </xf>
    <xf numFmtId="175" fontId="5" fillId="0" borderId="47" xfId="49" applyNumberFormat="1" applyFont="1" applyFill="1" applyBorder="1" applyAlignment="1" applyProtection="1">
      <alignment horizontal="center" vertical="center"/>
      <protection locked="0"/>
    </xf>
    <xf numFmtId="175" fontId="5" fillId="0" borderId="11" xfId="49" applyNumberFormat="1" applyFont="1" applyFill="1" applyBorder="1" applyAlignment="1" applyProtection="1">
      <alignment horizontal="center" vertical="center"/>
      <protection locked="0"/>
    </xf>
    <xf numFmtId="175" fontId="5" fillId="0" borderId="13" xfId="49" applyNumberFormat="1" applyFont="1" applyFill="1" applyBorder="1" applyAlignment="1" applyProtection="1">
      <alignment horizontal="center" vertical="center"/>
      <protection locked="0"/>
    </xf>
    <xf numFmtId="175" fontId="5" fillId="0" borderId="6" xfId="49" applyNumberFormat="1" applyFont="1" applyFill="1" applyBorder="1" applyAlignment="1" applyProtection="1">
      <alignment horizontal="center" vertical="center"/>
      <protection locked="0"/>
    </xf>
    <xf numFmtId="2" fontId="40" fillId="0" borderId="6" xfId="0" applyNumberFormat="1" applyFont="1" applyBorder="1" applyAlignment="1" applyProtection="1">
      <alignment horizontal="center" vertical="center"/>
      <protection locked="0"/>
    </xf>
    <xf numFmtId="164" fontId="3" fillId="0" borderId="49" xfId="0" applyNumberFormat="1" applyFont="1" applyBorder="1" applyAlignment="1" applyProtection="1">
      <alignment horizontal="center"/>
      <protection locked="0"/>
    </xf>
    <xf numFmtId="164" fontId="93" fillId="0" borderId="49" xfId="0" applyNumberFormat="1" applyFont="1" applyBorder="1" applyAlignment="1" applyProtection="1">
      <alignment horizontal="center"/>
      <protection locked="0"/>
    </xf>
    <xf numFmtId="175" fontId="92" fillId="0" borderId="6" xfId="49" applyNumberFormat="1" applyFont="1" applyFill="1" applyBorder="1" applyAlignment="1" applyProtection="1">
      <alignment horizontal="center" vertical="center"/>
      <protection locked="0"/>
    </xf>
    <xf numFmtId="175" fontId="5" fillId="0" borderId="13" xfId="49" applyNumberFormat="1" applyFont="1" applyBorder="1" applyAlignment="1" applyProtection="1">
      <alignment horizontal="center" vertical="center"/>
      <protection locked="0"/>
    </xf>
    <xf numFmtId="1" fontId="94" fillId="0" borderId="6" xfId="0" quotePrefix="1" applyNumberFormat="1" applyFont="1" applyBorder="1" applyAlignment="1" applyProtection="1">
      <alignment horizontal="center" vertical="center"/>
      <protection locked="0"/>
    </xf>
    <xf numFmtId="1" fontId="95" fillId="0" borderId="6" xfId="0" quotePrefix="1" applyNumberFormat="1" applyFont="1" applyBorder="1" applyAlignment="1" applyProtection="1">
      <alignment horizontal="center" vertical="center"/>
      <protection locked="0"/>
    </xf>
    <xf numFmtId="1" fontId="95" fillId="30" borderId="6" xfId="0" quotePrefix="1" applyNumberFormat="1" applyFont="1" applyFill="1" applyBorder="1" applyAlignment="1" applyProtection="1">
      <alignment horizontal="center" vertical="center"/>
      <protection locked="0"/>
    </xf>
    <xf numFmtId="1" fontId="95" fillId="31" borderId="6" xfId="0" quotePrefix="1" applyNumberFormat="1" applyFont="1" applyFill="1" applyBorder="1" applyAlignment="1" applyProtection="1">
      <alignment horizontal="center" vertical="center"/>
      <protection locked="0"/>
    </xf>
    <xf numFmtId="0" fontId="0" fillId="0" borderId="6" xfId="0" applyBorder="1" applyAlignment="1" applyProtection="1">
      <alignment horizontal="center" vertical="center"/>
      <protection locked="0"/>
    </xf>
    <xf numFmtId="0" fontId="7" fillId="30" borderId="52" xfId="0" applyFont="1" applyFill="1" applyBorder="1" applyAlignment="1" applyProtection="1">
      <alignment horizontal="center" vertical="center"/>
      <protection locked="0"/>
    </xf>
    <xf numFmtId="0" fontId="7" fillId="30" borderId="49" xfId="0" applyFont="1" applyFill="1" applyBorder="1" applyAlignment="1" applyProtection="1">
      <alignment horizontal="center" vertical="center"/>
      <protection locked="0"/>
    </xf>
    <xf numFmtId="0" fontId="7" fillId="30" borderId="53" xfId="0" applyFont="1" applyFill="1" applyBorder="1" applyAlignment="1" applyProtection="1">
      <alignment horizontal="center" vertical="center"/>
      <protection locked="0"/>
    </xf>
    <xf numFmtId="0" fontId="14" fillId="30" borderId="52" xfId="0" applyFont="1" applyFill="1" applyBorder="1" applyAlignment="1" applyProtection="1">
      <alignment horizontal="center" vertical="center" wrapText="1"/>
      <protection locked="0"/>
    </xf>
    <xf numFmtId="0" fontId="14" fillId="30" borderId="49" xfId="0" applyFont="1" applyFill="1" applyBorder="1" applyAlignment="1" applyProtection="1">
      <alignment horizontal="center" vertical="center" wrapText="1"/>
      <protection locked="0"/>
    </xf>
    <xf numFmtId="0" fontId="14" fillId="30" borderId="53" xfId="0" applyFont="1" applyFill="1" applyBorder="1" applyAlignment="1" applyProtection="1">
      <alignment horizontal="center" vertical="center" wrapText="1"/>
      <protection locked="0"/>
    </xf>
    <xf numFmtId="0" fontId="14" fillId="30" borderId="51" xfId="0" applyFont="1" applyFill="1" applyBorder="1" applyAlignment="1" applyProtection="1">
      <alignment horizontal="center" vertical="center" wrapText="1"/>
      <protection locked="0"/>
    </xf>
    <xf numFmtId="0" fontId="14" fillId="30" borderId="50" xfId="0" applyFont="1" applyFill="1" applyBorder="1" applyAlignment="1" applyProtection="1">
      <alignment horizontal="center" vertical="center" wrapText="1"/>
      <protection locked="0"/>
    </xf>
    <xf numFmtId="0" fontId="7" fillId="30" borderId="51" xfId="0" applyFont="1" applyFill="1" applyBorder="1" applyAlignment="1" applyProtection="1">
      <alignment horizontal="center" vertical="center"/>
      <protection locked="0"/>
    </xf>
    <xf numFmtId="0" fontId="7" fillId="30" borderId="50" xfId="0" applyFont="1" applyFill="1" applyBorder="1" applyAlignment="1" applyProtection="1">
      <alignment horizontal="center" vertical="center"/>
      <protection locked="0"/>
    </xf>
    <xf numFmtId="0" fontId="14" fillId="30" borderId="0" xfId="0" applyFont="1" applyFill="1" applyAlignment="1" applyProtection="1">
      <alignment horizontal="center" vertical="center" wrapText="1"/>
      <protection locked="0"/>
    </xf>
    <xf numFmtId="0" fontId="5" fillId="0" borderId="6" xfId="0" applyFont="1" applyBorder="1" applyAlignment="1" applyProtection="1">
      <alignment horizontal="center" vertical="center"/>
      <protection hidden="1"/>
    </xf>
    <xf numFmtId="0" fontId="5" fillId="0" borderId="26" xfId="0" applyFont="1" applyBorder="1" applyAlignment="1" applyProtection="1">
      <alignment horizontal="center" vertical="center"/>
      <protection hidden="1"/>
    </xf>
    <xf numFmtId="0" fontId="5" fillId="0" borderId="11" xfId="0" applyFont="1" applyBorder="1" applyAlignment="1" applyProtection="1">
      <alignment horizontal="center" vertical="center"/>
      <protection hidden="1"/>
    </xf>
    <xf numFmtId="0" fontId="22" fillId="0" borderId="6" xfId="48" applyFont="1" applyFill="1" applyBorder="1" applyAlignment="1" applyProtection="1">
      <alignment horizontal="justify" vertical="center" wrapText="1"/>
      <protection hidden="1"/>
    </xf>
    <xf numFmtId="0" fontId="22" fillId="0" borderId="12" xfId="48" applyFont="1" applyFill="1" applyBorder="1" applyAlignment="1" applyProtection="1">
      <alignment horizontal="justify" vertical="center" wrapText="1"/>
      <protection hidden="1"/>
    </xf>
    <xf numFmtId="0" fontId="22" fillId="0" borderId="4" xfId="48" applyFont="1" applyFill="1" applyBorder="1" applyAlignment="1" applyProtection="1">
      <alignment horizontal="justify" vertical="center" wrapText="1"/>
      <protection hidden="1"/>
    </xf>
    <xf numFmtId="0" fontId="22" fillId="0" borderId="13" xfId="48" applyFont="1" applyFill="1" applyBorder="1" applyAlignment="1" applyProtection="1">
      <alignment horizontal="justify" vertical="center" wrapText="1"/>
      <protection hidden="1"/>
    </xf>
    <xf numFmtId="0" fontId="22" fillId="0" borderId="6" xfId="0" applyFont="1" applyFill="1" applyBorder="1" applyAlignment="1" applyProtection="1">
      <alignment horizontal="center" vertical="center" wrapText="1"/>
      <protection hidden="1"/>
    </xf>
    <xf numFmtId="0" fontId="22" fillId="0" borderId="6" xfId="0" applyFont="1" applyFill="1" applyBorder="1" applyAlignment="1" applyProtection="1">
      <alignment horizontal="justify" vertical="center" wrapText="1"/>
      <protection hidden="1"/>
    </xf>
    <xf numFmtId="0" fontId="73" fillId="0" borderId="0" xfId="0" applyFont="1" applyFill="1" applyAlignment="1" applyProtection="1">
      <alignment horizontal="center" vertical="center" wrapText="1"/>
      <protection hidden="1"/>
    </xf>
    <xf numFmtId="0" fontId="20" fillId="0" borderId="0" xfId="0" applyFont="1" applyFill="1" applyAlignment="1" applyProtection="1">
      <alignment horizontal="center" vertical="center" wrapText="1"/>
      <protection hidden="1"/>
    </xf>
    <xf numFmtId="0" fontId="22" fillId="0" borderId="12" xfId="0" applyFont="1" applyFill="1" applyBorder="1" applyAlignment="1" applyProtection="1">
      <alignment horizontal="center" vertical="center" wrapText="1"/>
      <protection hidden="1"/>
    </xf>
    <xf numFmtId="0" fontId="22" fillId="0" borderId="4" xfId="0" applyFont="1" applyFill="1" applyBorder="1" applyAlignment="1" applyProtection="1">
      <alignment horizontal="center" vertical="center" wrapText="1"/>
      <protection hidden="1"/>
    </xf>
    <xf numFmtId="0" fontId="22" fillId="0" borderId="6" xfId="0" applyFont="1" applyFill="1" applyBorder="1" applyAlignment="1" applyProtection="1">
      <alignment horizontal="center" vertical="center"/>
      <protection hidden="1"/>
    </xf>
    <xf numFmtId="0" fontId="82" fillId="31" borderId="0" xfId="0" applyFont="1" applyFill="1" applyAlignment="1" applyProtection="1">
      <alignment horizontal="center"/>
      <protection hidden="1"/>
    </xf>
    <xf numFmtId="0" fontId="3" fillId="0" borderId="0" xfId="0" applyNumberFormat="1" applyFont="1" applyFill="1" applyBorder="1" applyAlignment="1" applyProtection="1">
      <alignment horizontal="center" textRotation="90"/>
      <protection hidden="1"/>
    </xf>
    <xf numFmtId="0" fontId="3" fillId="0" borderId="28" xfId="0" applyNumberFormat="1" applyFont="1" applyFill="1" applyBorder="1" applyAlignment="1" applyProtection="1">
      <alignment horizontal="center" textRotation="90"/>
      <protection hidden="1"/>
    </xf>
    <xf numFmtId="0" fontId="15" fillId="0" borderId="0" xfId="0" applyFont="1" applyBorder="1" applyAlignment="1" applyProtection="1">
      <alignment horizontal="center"/>
      <protection locked="0"/>
    </xf>
    <xf numFmtId="0" fontId="14" fillId="0" borderId="0" xfId="0" applyFont="1" applyBorder="1" applyAlignment="1" applyProtection="1">
      <alignment horizontal="center" wrapText="1"/>
      <protection locked="0"/>
    </xf>
    <xf numFmtId="0" fontId="14" fillId="0" borderId="0" xfId="0" applyFont="1" applyBorder="1" applyAlignment="1" applyProtection="1">
      <alignment horizontal="center"/>
      <protection locked="0"/>
    </xf>
    <xf numFmtId="0" fontId="83" fillId="0" borderId="0" xfId="0" applyFont="1" applyBorder="1" applyAlignment="1" applyProtection="1">
      <alignment horizontal="center" vertical="top"/>
      <protection locked="0"/>
    </xf>
    <xf numFmtId="0" fontId="14" fillId="0" borderId="0" xfId="0" applyFont="1" applyFill="1" applyBorder="1" applyAlignment="1" applyProtection="1">
      <alignment horizontal="center"/>
      <protection locked="0"/>
    </xf>
    <xf numFmtId="0" fontId="60" fillId="0" borderId="67" xfId="0" applyFont="1" applyBorder="1" applyAlignment="1" applyProtection="1">
      <alignment horizontal="center" vertical="center" wrapText="1" shrinkToFit="1"/>
      <protection hidden="1"/>
    </xf>
    <xf numFmtId="0" fontId="60" fillId="0" borderId="3" xfId="0" applyFont="1" applyBorder="1" applyAlignment="1" applyProtection="1">
      <alignment horizontal="center" vertical="center" wrapText="1" shrinkToFit="1"/>
      <protection hidden="1"/>
    </xf>
    <xf numFmtId="0" fontId="60" fillId="0" borderId="68" xfId="0" applyFont="1" applyBorder="1" applyAlignment="1" applyProtection="1">
      <alignment horizontal="center" vertical="center" wrapText="1" shrinkToFit="1"/>
      <protection hidden="1"/>
    </xf>
    <xf numFmtId="0" fontId="3" fillId="0" borderId="72" xfId="0" applyFont="1" applyBorder="1" applyAlignment="1" applyProtection="1">
      <alignment horizontal="right" vertical="center"/>
      <protection locked="0"/>
    </xf>
    <xf numFmtId="0" fontId="3" fillId="0" borderId="73" xfId="0" applyFont="1" applyBorder="1" applyAlignment="1" applyProtection="1">
      <alignment horizontal="right" vertical="center"/>
      <protection locked="0"/>
    </xf>
    <xf numFmtId="0" fontId="3" fillId="0" borderId="74" xfId="0" applyFont="1" applyBorder="1" applyAlignment="1" applyProtection="1">
      <alignment horizontal="right" vertical="center"/>
      <protection locked="0"/>
    </xf>
    <xf numFmtId="0" fontId="60" fillId="0" borderId="67" xfId="0" applyFont="1" applyBorder="1" applyAlignment="1" applyProtection="1">
      <alignment horizontal="center" vertical="center" wrapText="1"/>
      <protection hidden="1"/>
    </xf>
    <xf numFmtId="0" fontId="60" fillId="0" borderId="3" xfId="0" applyFont="1" applyBorder="1" applyAlignment="1" applyProtection="1">
      <alignment horizontal="center" vertical="center" wrapText="1"/>
      <protection hidden="1"/>
    </xf>
    <xf numFmtId="0" fontId="60" fillId="0" borderId="68" xfId="0" applyFont="1" applyBorder="1" applyAlignment="1" applyProtection="1">
      <alignment horizontal="center" vertical="center" wrapText="1"/>
      <protection hidden="1"/>
    </xf>
    <xf numFmtId="0" fontId="3" fillId="0" borderId="67" xfId="0" applyFont="1" applyBorder="1" applyAlignment="1" applyProtection="1">
      <alignment horizontal="center" vertical="center" wrapText="1"/>
      <protection locked="0"/>
    </xf>
    <xf numFmtId="0" fontId="3" fillId="0" borderId="68" xfId="0" applyFont="1" applyBorder="1" applyAlignment="1" applyProtection="1">
      <alignment horizontal="center" vertical="center" wrapText="1"/>
      <protection locked="0"/>
    </xf>
    <xf numFmtId="0" fontId="4" fillId="0" borderId="34" xfId="0" applyFont="1" applyBorder="1" applyAlignment="1" applyProtection="1">
      <alignment horizontal="center" vertical="center" textRotation="90" shrinkToFit="1"/>
      <protection locked="0"/>
    </xf>
    <xf numFmtId="0" fontId="4" fillId="0" borderId="20" xfId="0" applyFont="1" applyBorder="1" applyAlignment="1" applyProtection="1">
      <alignment horizontal="center" vertical="center" textRotation="90" shrinkToFit="1"/>
      <protection locked="0"/>
    </xf>
    <xf numFmtId="0" fontId="4" fillId="0" borderId="25" xfId="0" applyFont="1" applyBorder="1" applyAlignment="1" applyProtection="1">
      <alignment horizontal="center" vertical="center" textRotation="90" shrinkToFit="1"/>
      <protection locked="0"/>
    </xf>
    <xf numFmtId="0" fontId="3" fillId="0" borderId="34" xfId="0" applyFont="1" applyBorder="1" applyAlignment="1" applyProtection="1">
      <alignment horizontal="center" vertical="center"/>
      <protection locked="0"/>
    </xf>
    <xf numFmtId="0" fontId="3" fillId="0" borderId="20" xfId="0" applyFont="1" applyBorder="1" applyAlignment="1" applyProtection="1">
      <alignment horizontal="center" vertical="center"/>
      <protection locked="0"/>
    </xf>
    <xf numFmtId="0" fontId="15" fillId="0" borderId="0" xfId="0" applyFont="1" applyAlignment="1" applyProtection="1">
      <alignment horizontal="justify"/>
      <protection locked="0"/>
    </xf>
    <xf numFmtId="164" fontId="15" fillId="0" borderId="0" xfId="0" applyNumberFormat="1" applyFont="1" applyAlignment="1" applyProtection="1">
      <alignment horizontal="right"/>
      <protection locked="0"/>
    </xf>
    <xf numFmtId="0" fontId="14" fillId="0" borderId="0" xfId="0" applyFont="1" applyAlignment="1" applyProtection="1">
      <alignment horizontal="center"/>
      <protection hidden="1"/>
    </xf>
    <xf numFmtId="0" fontId="14" fillId="0" borderId="0" xfId="0" applyFont="1" applyAlignment="1" applyProtection="1">
      <alignment horizontal="justify"/>
      <protection hidden="1"/>
    </xf>
    <xf numFmtId="0" fontId="15" fillId="0" borderId="0" xfId="0" applyFont="1" applyAlignment="1" applyProtection="1">
      <alignment horizontal="justify"/>
      <protection hidden="1"/>
    </xf>
    <xf numFmtId="0" fontId="15" fillId="0" borderId="0" xfId="0" applyFont="1" applyAlignment="1" applyProtection="1">
      <alignment horizontal="center"/>
      <protection hidden="1"/>
    </xf>
    <xf numFmtId="164" fontId="15" fillId="0" borderId="0" xfId="0" applyNumberFormat="1" applyFont="1" applyAlignment="1" applyProtection="1">
      <alignment horizontal="right"/>
      <protection hidden="1"/>
    </xf>
    <xf numFmtId="0" fontId="15" fillId="0" borderId="0" xfId="0" applyFont="1" applyAlignment="1" applyProtection="1">
      <alignment horizontal="center"/>
      <protection locked="0"/>
    </xf>
    <xf numFmtId="0" fontId="14" fillId="0" borderId="0" xfId="0" applyFont="1" applyAlignment="1" applyProtection="1">
      <alignment horizontal="center" wrapText="1"/>
      <protection hidden="1"/>
    </xf>
    <xf numFmtId="0" fontId="3" fillId="0" borderId="35" xfId="0" applyFont="1" applyBorder="1" applyAlignment="1" applyProtection="1">
      <alignment horizontal="center" vertical="center" wrapText="1"/>
      <protection hidden="1"/>
    </xf>
    <xf numFmtId="0" fontId="3" fillId="0" borderId="0" xfId="0" applyFont="1" applyBorder="1" applyAlignment="1" applyProtection="1">
      <alignment horizontal="center" vertical="center" wrapText="1"/>
      <protection hidden="1"/>
    </xf>
    <xf numFmtId="0" fontId="3" fillId="0" borderId="69" xfId="0" applyFont="1" applyBorder="1" applyAlignment="1" applyProtection="1">
      <alignment horizontal="center" vertical="center" wrapText="1"/>
      <protection hidden="1"/>
    </xf>
    <xf numFmtId="0" fontId="3" fillId="0" borderId="35" xfId="0" quotePrefix="1" applyFont="1" applyBorder="1" applyAlignment="1" applyProtection="1">
      <alignment horizontal="center" vertical="center" wrapText="1"/>
      <protection locked="0"/>
    </xf>
    <xf numFmtId="0" fontId="3" fillId="0" borderId="69" xfId="0" applyFont="1" applyBorder="1" applyAlignment="1" applyProtection="1">
      <alignment horizontal="center" vertical="center" wrapText="1"/>
      <protection locked="0"/>
    </xf>
    <xf numFmtId="0" fontId="4" fillId="0" borderId="67" xfId="0" applyFont="1" applyBorder="1" applyAlignment="1" applyProtection="1">
      <alignment horizontal="center" textRotation="90" wrapText="1" shrinkToFit="1"/>
      <protection locked="0"/>
    </xf>
    <xf numFmtId="0" fontId="4" fillId="0" borderId="68" xfId="0" applyFont="1" applyBorder="1" applyAlignment="1" applyProtection="1">
      <alignment horizontal="center" textRotation="90" wrapText="1" shrinkToFit="1"/>
      <protection locked="0"/>
    </xf>
    <xf numFmtId="0" fontId="3" fillId="0" borderId="34" xfId="0" applyFont="1" applyBorder="1" applyAlignment="1" applyProtection="1">
      <alignment horizontal="center" vertical="center" textRotation="90" shrinkToFit="1"/>
      <protection locked="0"/>
    </xf>
    <xf numFmtId="0" fontId="3" fillId="0" borderId="21" xfId="0" applyFont="1" applyBorder="1" applyAlignment="1" applyProtection="1">
      <alignment horizontal="center" vertical="center" textRotation="90" shrinkToFit="1"/>
      <protection locked="0"/>
    </xf>
    <xf numFmtId="0" fontId="3" fillId="0" borderId="41" xfId="0" applyFont="1" applyBorder="1" applyAlignment="1" applyProtection="1">
      <alignment horizontal="center" vertical="center" wrapText="1"/>
      <protection locked="0"/>
    </xf>
    <xf numFmtId="0" fontId="3" fillId="0" borderId="42" xfId="0" applyFont="1" applyBorder="1" applyAlignment="1" applyProtection="1">
      <alignment horizontal="center" vertical="center" wrapText="1"/>
      <protection locked="0"/>
    </xf>
    <xf numFmtId="0" fontId="3" fillId="0" borderId="22" xfId="0" applyFont="1" applyBorder="1" applyAlignment="1" applyProtection="1">
      <alignment horizontal="center" vertical="center" wrapText="1"/>
      <protection locked="0"/>
    </xf>
    <xf numFmtId="0" fontId="3" fillId="0" borderId="23" xfId="0" applyFont="1" applyBorder="1" applyAlignment="1" applyProtection="1">
      <alignment horizontal="center" vertical="center" wrapText="1"/>
      <protection locked="0"/>
    </xf>
    <xf numFmtId="0" fontId="3" fillId="0" borderId="70" xfId="0" applyFont="1" applyBorder="1" applyAlignment="1" applyProtection="1">
      <alignment horizontal="center" vertical="center" textRotation="90" shrinkToFit="1"/>
      <protection locked="0"/>
    </xf>
    <xf numFmtId="0" fontId="3" fillId="0" borderId="71" xfId="0" applyFont="1" applyBorder="1" applyAlignment="1" applyProtection="1">
      <alignment horizontal="center" vertical="center" textRotation="90" shrinkToFit="1"/>
      <protection locked="0"/>
    </xf>
    <xf numFmtId="0" fontId="3" fillId="0" borderId="44" xfId="0" applyFont="1" applyBorder="1" applyAlignment="1" applyProtection="1">
      <alignment horizontal="center" vertical="center" textRotation="90" shrinkToFit="1"/>
      <protection locked="0"/>
    </xf>
    <xf numFmtId="0" fontId="3" fillId="0" borderId="24" xfId="0" applyFont="1" applyBorder="1" applyAlignment="1" applyProtection="1">
      <alignment horizontal="center" vertical="center" textRotation="90" shrinkToFit="1"/>
      <protection locked="0"/>
    </xf>
    <xf numFmtId="0" fontId="3" fillId="0" borderId="42" xfId="0" applyFont="1" applyBorder="1" applyAlignment="1" applyProtection="1">
      <alignment horizontal="center" vertical="center" textRotation="90" shrinkToFit="1"/>
      <protection locked="0"/>
    </xf>
    <xf numFmtId="0" fontId="3" fillId="0" borderId="23" xfId="0" applyFont="1" applyBorder="1" applyAlignment="1" applyProtection="1">
      <alignment horizontal="center" vertical="center" textRotation="90" shrinkToFit="1"/>
      <protection locked="0"/>
    </xf>
    <xf numFmtId="0" fontId="3" fillId="0" borderId="75" xfId="0" applyFont="1" applyBorder="1" applyAlignment="1" applyProtection="1">
      <alignment horizontal="right" vertical="center"/>
      <protection locked="0"/>
    </xf>
    <xf numFmtId="0" fontId="3" fillId="0" borderId="76" xfId="0" applyFont="1" applyBorder="1" applyAlignment="1" applyProtection="1">
      <alignment horizontal="right" vertical="center"/>
      <protection locked="0"/>
    </xf>
    <xf numFmtId="0" fontId="3" fillId="0" borderId="77" xfId="0" applyFont="1" applyBorder="1" applyAlignment="1" applyProtection="1">
      <alignment horizontal="right" vertical="center"/>
      <protection locked="0"/>
    </xf>
    <xf numFmtId="0" fontId="3" fillId="0" borderId="41" xfId="0" applyFont="1" applyBorder="1" applyAlignment="1" applyProtection="1">
      <alignment horizontal="center" vertical="center" textRotation="90" shrinkToFit="1"/>
      <protection locked="0"/>
    </xf>
    <xf numFmtId="0" fontId="3" fillId="0" borderId="22" xfId="0" applyFont="1" applyBorder="1" applyAlignment="1" applyProtection="1">
      <alignment horizontal="center" vertical="center" textRotation="90" shrinkToFit="1"/>
      <protection locked="0"/>
    </xf>
    <xf numFmtId="0" fontId="14" fillId="0" borderId="0" xfId="0" applyFont="1" applyAlignment="1" applyProtection="1">
      <alignment horizontal="center"/>
      <protection locked="0"/>
    </xf>
    <xf numFmtId="0" fontId="41" fillId="0" borderId="0" xfId="0" applyFont="1" applyAlignment="1" applyProtection="1">
      <alignment horizontal="center"/>
      <protection locked="0"/>
    </xf>
    <xf numFmtId="0" fontId="3" fillId="0" borderId="0" xfId="0" applyFont="1" applyBorder="1" applyAlignment="1" applyProtection="1">
      <alignment horizontal="center" vertical="center" wrapText="1"/>
      <protection locked="0"/>
    </xf>
    <xf numFmtId="0" fontId="10" fillId="0" borderId="78" xfId="0" applyFont="1" applyBorder="1" applyAlignment="1" applyProtection="1">
      <alignment horizontal="center" vertical="center" textRotation="90" wrapText="1"/>
      <protection locked="0"/>
    </xf>
    <xf numFmtId="0" fontId="10" fillId="0" borderId="33" xfId="0" applyFont="1" applyBorder="1" applyAlignment="1" applyProtection="1">
      <alignment horizontal="center" vertical="center" textRotation="90" wrapText="1"/>
      <protection locked="0"/>
    </xf>
    <xf numFmtId="0" fontId="10" fillId="0" borderId="79" xfId="0" applyFont="1" applyBorder="1" applyAlignment="1" applyProtection="1">
      <alignment horizontal="center" vertical="center" textRotation="90" wrapText="1"/>
      <protection locked="0"/>
    </xf>
    <xf numFmtId="0" fontId="3" fillId="0" borderId="36" xfId="0" applyFont="1" applyBorder="1" applyAlignment="1" applyProtection="1">
      <alignment horizontal="center"/>
      <protection hidden="1"/>
    </xf>
    <xf numFmtId="0" fontId="3" fillId="0" borderId="37" xfId="0" applyFont="1" applyBorder="1" applyAlignment="1" applyProtection="1">
      <alignment horizontal="center"/>
      <protection hidden="1"/>
    </xf>
    <xf numFmtId="0" fontId="3" fillId="0" borderId="34" xfId="0" applyFont="1" applyBorder="1" applyAlignment="1" applyProtection="1">
      <alignment horizontal="center" textRotation="90"/>
      <protection locked="0"/>
    </xf>
    <xf numFmtId="0" fontId="3" fillId="0" borderId="25" xfId="0" applyFont="1" applyBorder="1" applyAlignment="1" applyProtection="1">
      <alignment horizontal="center" textRotation="90"/>
      <protection locked="0"/>
    </xf>
    <xf numFmtId="0" fontId="14" fillId="0" borderId="0" xfId="0" applyFont="1" applyFill="1" applyBorder="1" applyAlignment="1" applyProtection="1">
      <alignment horizontal="center"/>
      <protection hidden="1"/>
    </xf>
    <xf numFmtId="0" fontId="3" fillId="0" borderId="67" xfId="0" applyFont="1" applyBorder="1" applyAlignment="1" applyProtection="1">
      <alignment horizontal="center" vertical="center" wrapText="1"/>
      <protection hidden="1"/>
    </xf>
    <xf numFmtId="0" fontId="3" fillId="0" borderId="3" xfId="0" applyFont="1" applyBorder="1" applyAlignment="1" applyProtection="1">
      <alignment horizontal="center" vertical="center" wrapText="1"/>
      <protection hidden="1"/>
    </xf>
    <xf numFmtId="0" fontId="3" fillId="0" borderId="68" xfId="0" applyFont="1" applyBorder="1" applyAlignment="1" applyProtection="1">
      <alignment horizontal="center" vertical="center" wrapText="1"/>
      <protection hidden="1"/>
    </xf>
    <xf numFmtId="0" fontId="3" fillId="0" borderId="80" xfId="0" applyFont="1" applyBorder="1" applyAlignment="1" applyProtection="1">
      <alignment horizontal="center" vertical="center" textRotation="90" shrinkToFit="1"/>
      <protection locked="0"/>
    </xf>
    <xf numFmtId="0" fontId="3" fillId="0" borderId="81" xfId="0" applyFont="1" applyBorder="1" applyAlignment="1" applyProtection="1">
      <alignment horizontal="center" vertical="center" textRotation="90" shrinkToFit="1"/>
      <protection locked="0"/>
    </xf>
    <xf numFmtId="0" fontId="3" fillId="0" borderId="82" xfId="0" applyFont="1" applyBorder="1" applyAlignment="1" applyProtection="1">
      <alignment horizontal="center" vertical="center" textRotation="90" shrinkToFit="1"/>
      <protection locked="0"/>
    </xf>
    <xf numFmtId="0" fontId="3" fillId="0" borderId="83" xfId="0" applyFont="1" applyBorder="1" applyAlignment="1" applyProtection="1">
      <alignment horizontal="center" vertical="center" textRotation="90" shrinkToFit="1"/>
      <protection locked="0"/>
    </xf>
    <xf numFmtId="0" fontId="56" fillId="0" borderId="0" xfId="0" applyFont="1" applyBorder="1" applyAlignment="1" applyProtection="1">
      <alignment horizontal="center"/>
      <protection locked="0"/>
    </xf>
    <xf numFmtId="0" fontId="3" fillId="0" borderId="0" xfId="0" quotePrefix="1" applyFont="1" applyBorder="1" applyAlignment="1" applyProtection="1">
      <alignment horizontal="center" vertical="center" wrapText="1"/>
      <protection locked="0"/>
    </xf>
    <xf numFmtId="0" fontId="3" fillId="0" borderId="69" xfId="0" quotePrefix="1" applyFont="1" applyBorder="1" applyAlignment="1" applyProtection="1">
      <alignment horizontal="center" vertical="center" wrapText="1"/>
      <protection locked="0"/>
    </xf>
    <xf numFmtId="0" fontId="3" fillId="0" borderId="67" xfId="0" quotePrefix="1"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4" fillId="0" borderId="34" xfId="0" applyFont="1" applyBorder="1" applyAlignment="1" applyProtection="1">
      <alignment horizontal="center" vertical="center" wrapText="1"/>
      <protection locked="0"/>
    </xf>
    <xf numFmtId="0" fontId="4" fillId="0" borderId="25" xfId="0" applyFont="1" applyBorder="1" applyAlignment="1" applyProtection="1">
      <alignment horizontal="center" vertical="center" wrapText="1"/>
      <protection locked="0"/>
    </xf>
    <xf numFmtId="0" fontId="60" fillId="0" borderId="0" xfId="0" applyFont="1" applyAlignment="1" applyProtection="1">
      <alignment horizontal="center" wrapText="1"/>
      <protection hidden="1"/>
    </xf>
    <xf numFmtId="0" fontId="71" fillId="0" borderId="85" xfId="0" applyFont="1" applyBorder="1" applyAlignment="1" applyProtection="1">
      <alignment horizontal="center" vertical="center" wrapText="1"/>
      <protection locked="0"/>
    </xf>
    <xf numFmtId="0" fontId="71" fillId="0" borderId="29" xfId="0" applyFont="1" applyBorder="1" applyAlignment="1" applyProtection="1">
      <alignment horizontal="center" vertical="center" wrapText="1"/>
      <protection locked="0"/>
    </xf>
    <xf numFmtId="0" fontId="71" fillId="0" borderId="55" xfId="0" applyFont="1" applyBorder="1" applyAlignment="1" applyProtection="1">
      <alignment horizontal="center" vertical="center" wrapText="1"/>
      <protection locked="0"/>
    </xf>
    <xf numFmtId="0" fontId="71" fillId="0" borderId="86" xfId="0" applyFont="1" applyBorder="1" applyAlignment="1" applyProtection="1">
      <alignment horizontal="center" vertical="center" wrapText="1"/>
      <protection locked="0"/>
    </xf>
    <xf numFmtId="0" fontId="71" fillId="0" borderId="28" xfId="0" applyFont="1" applyBorder="1" applyAlignment="1" applyProtection="1">
      <alignment horizontal="center" vertical="center" wrapText="1"/>
      <protection locked="0"/>
    </xf>
    <xf numFmtId="0" fontId="71" fillId="0" borderId="47" xfId="0" applyFont="1" applyBorder="1" applyAlignment="1" applyProtection="1">
      <alignment horizontal="center" vertical="center" wrapText="1"/>
      <protection locked="0"/>
    </xf>
    <xf numFmtId="0" fontId="10" fillId="0" borderId="78" xfId="0" applyFont="1" applyBorder="1" applyAlignment="1" applyProtection="1">
      <alignment horizontal="center" vertical="center" textRotation="90" wrapText="1" shrinkToFit="1"/>
      <protection locked="0"/>
    </xf>
    <xf numFmtId="0" fontId="10" fillId="0" borderId="33" xfId="0" applyFont="1" applyBorder="1" applyAlignment="1" applyProtection="1">
      <alignment horizontal="center" vertical="center" textRotation="90" wrapText="1" shrinkToFit="1"/>
      <protection locked="0"/>
    </xf>
    <xf numFmtId="0" fontId="10" fillId="0" borderId="79" xfId="0" applyFont="1" applyBorder="1" applyAlignment="1" applyProtection="1">
      <alignment horizontal="center" vertical="center" textRotation="90" wrapText="1" shrinkToFit="1"/>
      <protection locked="0"/>
    </xf>
    <xf numFmtId="0" fontId="69" fillId="0" borderId="54" xfId="0" applyFont="1" applyBorder="1" applyAlignment="1" applyProtection="1">
      <alignment horizontal="center" vertical="center"/>
      <protection locked="0"/>
    </xf>
    <xf numFmtId="0" fontId="69" fillId="0" borderId="29" xfId="0" applyFont="1" applyBorder="1" applyAlignment="1" applyProtection="1">
      <alignment horizontal="center" vertical="center"/>
      <protection locked="0"/>
    </xf>
    <xf numFmtId="0" fontId="69" fillId="0" borderId="55" xfId="0" applyFont="1" applyBorder="1" applyAlignment="1" applyProtection="1">
      <alignment horizontal="center" vertical="center"/>
      <protection locked="0"/>
    </xf>
    <xf numFmtId="0" fontId="69" fillId="0" borderId="84" xfId="0" applyFont="1" applyBorder="1" applyAlignment="1" applyProtection="1">
      <alignment horizontal="center" vertical="center"/>
      <protection locked="0"/>
    </xf>
    <xf numFmtId="0" fontId="69" fillId="0" borderId="28" xfId="0" applyFont="1" applyBorder="1" applyAlignment="1" applyProtection="1">
      <alignment horizontal="center" vertical="center"/>
      <protection locked="0"/>
    </xf>
    <xf numFmtId="0" fontId="69" fillId="0" borderId="47" xfId="0" applyFont="1" applyBorder="1" applyAlignment="1" applyProtection="1">
      <alignment horizontal="center" vertical="center"/>
      <protection locked="0"/>
    </xf>
    <xf numFmtId="0" fontId="72" fillId="0" borderId="54" xfId="0" applyFont="1" applyFill="1" applyBorder="1" applyAlignment="1" applyProtection="1">
      <alignment horizontal="center" vertical="center" wrapText="1"/>
      <protection locked="0"/>
    </xf>
    <xf numFmtId="0" fontId="72" fillId="0" borderId="29" xfId="0" applyFont="1" applyFill="1" applyBorder="1" applyAlignment="1" applyProtection="1">
      <alignment horizontal="center" vertical="center"/>
      <protection locked="0"/>
    </xf>
    <xf numFmtId="0" fontId="72" fillId="0" borderId="55" xfId="0" applyFont="1" applyFill="1" applyBorder="1" applyAlignment="1" applyProtection="1">
      <alignment horizontal="center" vertical="center"/>
      <protection locked="0"/>
    </xf>
    <xf numFmtId="0" fontId="72" fillId="0" borderId="84" xfId="0" applyFont="1" applyFill="1" applyBorder="1" applyAlignment="1" applyProtection="1">
      <alignment horizontal="center" vertical="center"/>
      <protection locked="0"/>
    </xf>
    <xf numFmtId="0" fontId="72" fillId="0" borderId="28" xfId="0" applyFont="1" applyFill="1" applyBorder="1" applyAlignment="1" applyProtection="1">
      <alignment horizontal="center" vertical="center"/>
      <protection locked="0"/>
    </xf>
    <xf numFmtId="0" fontId="72" fillId="0" borderId="47" xfId="0" applyFont="1" applyFill="1" applyBorder="1" applyAlignment="1" applyProtection="1">
      <alignment horizontal="center" vertical="center"/>
      <protection locked="0"/>
    </xf>
    <xf numFmtId="0" fontId="70" fillId="0" borderId="54" xfId="0" applyFont="1" applyFill="1" applyBorder="1" applyAlignment="1" applyProtection="1">
      <alignment horizontal="center" vertical="center" wrapText="1"/>
      <protection locked="0"/>
    </xf>
    <xf numFmtId="0" fontId="70" fillId="0" borderId="29" xfId="0" applyFont="1" applyFill="1" applyBorder="1" applyAlignment="1" applyProtection="1">
      <alignment horizontal="center" vertical="center" wrapText="1"/>
      <protection locked="0"/>
    </xf>
    <xf numFmtId="0" fontId="70" fillId="0" borderId="87" xfId="0" applyFont="1" applyFill="1" applyBorder="1" applyAlignment="1" applyProtection="1">
      <alignment horizontal="center" vertical="center" wrapText="1"/>
      <protection locked="0"/>
    </xf>
    <xf numFmtId="0" fontId="70" fillId="0" borderId="84" xfId="0" applyFont="1" applyFill="1" applyBorder="1" applyAlignment="1" applyProtection="1">
      <alignment horizontal="center" vertical="center" wrapText="1"/>
      <protection locked="0"/>
    </xf>
    <xf numFmtId="0" fontId="70" fillId="0" borderId="28" xfId="0" applyFont="1" applyFill="1" applyBorder="1" applyAlignment="1" applyProtection="1">
      <alignment horizontal="center" vertical="center" wrapText="1"/>
      <protection locked="0"/>
    </xf>
    <xf numFmtId="0" fontId="70" fillId="0" borderId="88" xfId="0" applyFont="1" applyFill="1" applyBorder="1" applyAlignment="1" applyProtection="1">
      <alignment horizontal="center" vertical="center" wrapText="1"/>
      <protection locked="0"/>
    </xf>
    <xf numFmtId="0" fontId="68" fillId="0" borderId="54" xfId="0" applyFont="1" applyFill="1" applyBorder="1" applyAlignment="1" applyProtection="1">
      <alignment horizontal="center" vertical="center" wrapText="1"/>
      <protection locked="0"/>
    </xf>
    <xf numFmtId="0" fontId="68" fillId="0" borderId="29" xfId="0" applyFont="1" applyFill="1" applyBorder="1" applyAlignment="1" applyProtection="1">
      <alignment horizontal="center" vertical="center" wrapText="1"/>
      <protection locked="0"/>
    </xf>
    <xf numFmtId="0" fontId="68" fillId="0" borderId="55" xfId="0" applyFont="1" applyFill="1" applyBorder="1" applyAlignment="1" applyProtection="1">
      <alignment horizontal="center" vertical="center" wrapText="1"/>
      <protection locked="0"/>
    </xf>
    <xf numFmtId="0" fontId="68" fillId="0" borderId="84" xfId="0" applyFont="1" applyFill="1" applyBorder="1" applyAlignment="1" applyProtection="1">
      <alignment horizontal="center" vertical="center" wrapText="1"/>
      <protection locked="0"/>
    </xf>
    <xf numFmtId="0" fontId="68" fillId="0" borderId="28" xfId="0" applyFont="1" applyFill="1" applyBorder="1" applyAlignment="1" applyProtection="1">
      <alignment horizontal="center" vertical="center" wrapText="1"/>
      <protection locked="0"/>
    </xf>
    <xf numFmtId="0" fontId="68" fillId="0" borderId="47" xfId="0" applyFont="1" applyFill="1" applyBorder="1" applyAlignment="1" applyProtection="1">
      <alignment horizontal="center" vertical="center" wrapText="1"/>
      <protection locked="0"/>
    </xf>
    <xf numFmtId="0" fontId="3" fillId="0" borderId="54" xfId="0" applyNumberFormat="1" applyFont="1" applyFill="1" applyBorder="1" applyAlignment="1" applyProtection="1">
      <alignment horizontal="center" vertical="center" wrapText="1"/>
      <protection locked="0"/>
    </xf>
    <xf numFmtId="0" fontId="3" fillId="0" borderId="29" xfId="0" applyNumberFormat="1" applyFont="1" applyFill="1" applyBorder="1" applyAlignment="1" applyProtection="1">
      <alignment horizontal="center" vertical="center" wrapText="1"/>
      <protection locked="0"/>
    </xf>
    <xf numFmtId="0" fontId="3" fillId="0" borderId="55" xfId="0" applyNumberFormat="1" applyFont="1" applyFill="1" applyBorder="1" applyAlignment="1" applyProtection="1">
      <alignment horizontal="center" vertical="center" wrapText="1"/>
      <protection locked="0"/>
    </xf>
    <xf numFmtId="0" fontId="3" fillId="0" borderId="89" xfId="0" applyNumberFormat="1" applyFont="1" applyFill="1" applyBorder="1" applyAlignment="1" applyProtection="1">
      <alignment horizontal="center" vertical="center" wrapText="1"/>
      <protection locked="0"/>
    </xf>
    <xf numFmtId="0" fontId="3" fillId="0" borderId="0" xfId="0" applyNumberFormat="1" applyFont="1" applyFill="1" applyBorder="1" applyAlignment="1" applyProtection="1">
      <alignment horizontal="center" vertical="center" wrapText="1"/>
      <protection locked="0"/>
    </xf>
    <xf numFmtId="0" fontId="3" fillId="0" borderId="90" xfId="0" applyNumberFormat="1" applyFont="1" applyFill="1" applyBorder="1" applyAlignment="1" applyProtection="1">
      <alignment horizontal="center" vertical="center" wrapText="1"/>
      <protection locked="0"/>
    </xf>
    <xf numFmtId="0" fontId="3" fillId="0" borderId="84" xfId="0" applyNumberFormat="1" applyFont="1" applyFill="1" applyBorder="1" applyAlignment="1" applyProtection="1">
      <alignment horizontal="center" vertical="center" wrapText="1"/>
      <protection locked="0"/>
    </xf>
    <xf numFmtId="0" fontId="3" fillId="0" borderId="28" xfId="0" applyNumberFormat="1" applyFont="1" applyFill="1" applyBorder="1" applyAlignment="1" applyProtection="1">
      <alignment horizontal="center" vertical="center" wrapText="1"/>
      <protection locked="0"/>
    </xf>
    <xf numFmtId="0" fontId="3" fillId="0" borderId="47" xfId="0" applyNumberFormat="1" applyFont="1" applyFill="1" applyBorder="1" applyAlignment="1" applyProtection="1">
      <alignment horizontal="center" vertical="center" wrapText="1"/>
      <protection locked="0"/>
    </xf>
    <xf numFmtId="0" fontId="3" fillId="0" borderId="13" xfId="0" applyNumberFormat="1" applyFont="1" applyFill="1" applyBorder="1" applyAlignment="1" applyProtection="1">
      <alignment horizontal="center" vertical="center" wrapText="1"/>
      <protection locked="0"/>
    </xf>
    <xf numFmtId="0" fontId="3" fillId="0" borderId="4" xfId="0" applyNumberFormat="1" applyFont="1" applyFill="1" applyBorder="1" applyAlignment="1" applyProtection="1">
      <alignment horizontal="center" vertical="center" wrapText="1"/>
      <protection locked="0"/>
    </xf>
    <xf numFmtId="0" fontId="3" fillId="0" borderId="25" xfId="0" applyFont="1" applyBorder="1" applyAlignment="1" applyProtection="1">
      <alignment horizontal="center" vertical="center"/>
      <protection locked="0"/>
    </xf>
    <xf numFmtId="0" fontId="3" fillId="0" borderId="72" xfId="0" applyFont="1" applyBorder="1" applyAlignment="1" applyProtection="1">
      <alignment horizontal="center" vertical="center" wrapText="1"/>
      <protection locked="0"/>
    </xf>
    <xf numFmtId="0" fontId="3" fillId="0" borderId="74" xfId="0" applyFont="1" applyBorder="1" applyAlignment="1" applyProtection="1">
      <alignment horizontal="center" vertical="center"/>
      <protection locked="0"/>
    </xf>
    <xf numFmtId="0" fontId="3" fillId="0" borderId="35" xfId="0" applyFont="1" applyBorder="1" applyAlignment="1" applyProtection="1">
      <alignment horizontal="center" vertical="center"/>
      <protection locked="0"/>
    </xf>
    <xf numFmtId="0" fontId="3" fillId="0" borderId="69" xfId="0" applyFont="1" applyBorder="1" applyAlignment="1" applyProtection="1">
      <alignment horizontal="center" vertical="center"/>
      <protection locked="0"/>
    </xf>
    <xf numFmtId="0" fontId="3" fillId="0" borderId="6" xfId="0" applyNumberFormat="1" applyFont="1" applyFill="1" applyBorder="1" applyAlignment="1" applyProtection="1">
      <alignment horizontal="center" vertical="center" wrapText="1"/>
      <protection locked="0"/>
    </xf>
    <xf numFmtId="0" fontId="3" fillId="0" borderId="0" xfId="49" applyFont="1" applyFill="1" applyBorder="1" applyAlignment="1" applyProtection="1">
      <alignment horizontal="center" vertical="center" wrapText="1"/>
      <protection locked="0"/>
    </xf>
    <xf numFmtId="0" fontId="3" fillId="0" borderId="0" xfId="49" applyFont="1" applyFill="1" applyBorder="1" applyAlignment="1" applyProtection="1">
      <alignment horizontal="center" vertical="center"/>
      <protection locked="0"/>
    </xf>
    <xf numFmtId="0" fontId="5" fillId="0" borderId="0" xfId="49" applyFont="1" applyFill="1" applyBorder="1" applyAlignment="1" applyProtection="1">
      <alignment horizontal="center" vertical="center"/>
      <protection locked="0"/>
    </xf>
    <xf numFmtId="0" fontId="12" fillId="0" borderId="28" xfId="49" applyFont="1" applyFill="1" applyBorder="1" applyAlignment="1" applyProtection="1">
      <alignment horizontal="center" vertical="center"/>
      <protection locked="0"/>
    </xf>
    <xf numFmtId="0" fontId="6" fillId="0" borderId="0" xfId="49" applyFont="1" applyFill="1" applyBorder="1" applyAlignment="1" applyProtection="1">
      <alignment horizontal="center" vertical="center"/>
      <protection locked="0"/>
    </xf>
    <xf numFmtId="0" fontId="4" fillId="0" borderId="0" xfId="49" applyFont="1" applyFill="1" applyAlignment="1" applyProtection="1">
      <alignment horizontal="center" vertical="center"/>
      <protection locked="0"/>
    </xf>
    <xf numFmtId="0" fontId="8" fillId="0" borderId="0" xfId="49" applyFont="1" applyFill="1" applyBorder="1" applyAlignment="1" applyProtection="1">
      <alignment horizontal="center" vertical="center"/>
      <protection hidden="1"/>
    </xf>
    <xf numFmtId="0" fontId="60" fillId="0" borderId="0" xfId="49" applyFont="1" applyFill="1" applyBorder="1" applyAlignment="1" applyProtection="1">
      <alignment horizontal="center" vertical="top"/>
      <protection locked="0"/>
    </xf>
    <xf numFmtId="0" fontId="65" fillId="0" borderId="6" xfId="0" applyFont="1" applyFill="1" applyBorder="1" applyAlignment="1" applyProtection="1">
      <alignment horizontal="center" vertical="center" wrapText="1"/>
      <protection locked="0"/>
    </xf>
    <xf numFmtId="0" fontId="4" fillId="0" borderId="6" xfId="0" applyFont="1" applyFill="1" applyBorder="1" applyAlignment="1" applyProtection="1">
      <alignment horizontal="center" vertical="center" wrapText="1"/>
      <protection locked="0"/>
    </xf>
    <xf numFmtId="0" fontId="61" fillId="0" borderId="6" xfId="0" applyFont="1" applyFill="1" applyBorder="1" applyAlignment="1" applyProtection="1">
      <alignment horizontal="center" vertical="center" wrapText="1"/>
      <protection locked="0"/>
    </xf>
    <xf numFmtId="0" fontId="13" fillId="0" borderId="0" xfId="49" applyFont="1" applyFill="1" applyAlignment="1" applyProtection="1">
      <alignment horizontal="center" vertical="center"/>
      <protection locked="0"/>
    </xf>
    <xf numFmtId="0" fontId="7" fillId="0" borderId="0" xfId="50" applyFont="1" applyFill="1" applyAlignment="1" applyProtection="1">
      <alignment horizontal="justify" vertical="center"/>
      <protection hidden="1"/>
    </xf>
    <xf numFmtId="0" fontId="7" fillId="0" borderId="0" xfId="0" applyFont="1" applyFill="1" applyAlignment="1" applyProtection="1">
      <alignment horizontal="center" vertical="center" wrapText="1"/>
      <protection hidden="1"/>
    </xf>
    <xf numFmtId="0" fontId="7" fillId="0" borderId="0" xfId="50" applyFont="1" applyFill="1" applyAlignment="1" applyProtection="1">
      <alignment horizontal="center" vertical="center" wrapText="1"/>
      <protection hidden="1"/>
    </xf>
    <xf numFmtId="0" fontId="4" fillId="0" borderId="6" xfId="49" applyFont="1" applyFill="1" applyBorder="1" applyAlignment="1" applyProtection="1">
      <alignment horizontal="center" vertical="center" wrapText="1"/>
      <protection locked="0"/>
    </xf>
    <xf numFmtId="0" fontId="4" fillId="0" borderId="12" xfId="49" applyFont="1" applyFill="1" applyBorder="1" applyAlignment="1" applyProtection="1">
      <alignment horizontal="center" vertical="center" wrapText="1"/>
      <protection locked="0"/>
    </xf>
    <xf numFmtId="9" fontId="4" fillId="0" borderId="6" xfId="0" applyNumberFormat="1" applyFont="1" applyFill="1" applyBorder="1" applyAlignment="1" applyProtection="1">
      <alignment horizontal="center" vertical="center" wrapText="1"/>
      <protection locked="0"/>
    </xf>
    <xf numFmtId="0" fontId="7" fillId="0" borderId="29" xfId="49" applyFont="1" applyFill="1" applyBorder="1" applyAlignment="1" applyProtection="1">
      <alignment horizontal="justify" vertical="center"/>
      <protection locked="0"/>
    </xf>
    <xf numFmtId="0" fontId="7" fillId="0" borderId="0" xfId="49" applyFont="1" applyFill="1" applyBorder="1" applyAlignment="1" applyProtection="1">
      <alignment horizontal="justify" vertical="center"/>
      <protection locked="0"/>
    </xf>
    <xf numFmtId="0" fontId="10" fillId="0" borderId="0" xfId="49" applyFont="1" applyFill="1" applyAlignment="1" applyProtection="1">
      <alignment horizontal="right" vertical="center"/>
      <protection hidden="1"/>
    </xf>
    <xf numFmtId="0" fontId="12" fillId="0" borderId="0" xfId="49" applyFont="1" applyFill="1" applyBorder="1" applyAlignment="1" applyProtection="1">
      <alignment horizontal="center" vertical="center"/>
      <protection locked="0"/>
    </xf>
    <xf numFmtId="0" fontId="7" fillId="0" borderId="29" xfId="49" applyFont="1" applyFill="1" applyBorder="1" applyAlignment="1" applyProtection="1">
      <alignment horizontal="left" vertical="center"/>
      <protection locked="0"/>
    </xf>
    <xf numFmtId="0" fontId="13" fillId="0" borderId="0" xfId="49" applyFont="1" applyFill="1" applyAlignment="1" applyProtection="1">
      <alignment horizontal="left" vertical="center"/>
      <protection locked="0"/>
    </xf>
    <xf numFmtId="0" fontId="4" fillId="0" borderId="0" xfId="49" applyFont="1" applyFill="1" applyAlignment="1" applyProtection="1">
      <alignment horizontal="right" vertical="center"/>
      <protection locked="0"/>
    </xf>
    <xf numFmtId="0" fontId="12" fillId="0" borderId="0" xfId="49" applyFont="1" applyFill="1" applyBorder="1" applyAlignment="1" applyProtection="1">
      <alignment horizontal="right" vertical="center"/>
      <protection locked="0"/>
    </xf>
    <xf numFmtId="0" fontId="5" fillId="0" borderId="0" xfId="49" applyFont="1" applyFill="1" applyBorder="1" applyAlignment="1" applyProtection="1">
      <alignment horizontal="left" vertical="center" indent="13"/>
      <protection locked="0"/>
    </xf>
    <xf numFmtId="0" fontId="7" fillId="0" borderId="0" xfId="50" applyFont="1" applyFill="1" applyAlignment="1" applyProtection="1">
      <alignment horizontal="justify"/>
      <protection hidden="1"/>
    </xf>
    <xf numFmtId="0" fontId="4" fillId="0" borderId="0" xfId="49" applyFont="1" applyFill="1" applyAlignment="1" applyProtection="1">
      <alignment horizontal="center"/>
      <protection locked="0"/>
    </xf>
    <xf numFmtId="0" fontId="6" fillId="0" borderId="0" xfId="49" applyFont="1" applyFill="1" applyBorder="1" applyAlignment="1" applyProtection="1">
      <alignment horizontal="center"/>
      <protection locked="0"/>
    </xf>
    <xf numFmtId="0" fontId="12" fillId="0" borderId="28" xfId="49" applyFont="1" applyFill="1" applyBorder="1" applyAlignment="1" applyProtection="1">
      <alignment horizontal="center"/>
      <protection locked="0"/>
    </xf>
    <xf numFmtId="0" fontId="7" fillId="0" borderId="0" xfId="50" applyFont="1" applyFill="1" applyAlignment="1" applyProtection="1">
      <alignment horizontal="left"/>
      <protection hidden="1"/>
    </xf>
    <xf numFmtId="0" fontId="10" fillId="0" borderId="0" xfId="49" applyFont="1" applyFill="1" applyAlignment="1" applyProtection="1">
      <alignment horizontal="right"/>
      <protection hidden="1"/>
    </xf>
    <xf numFmtId="0" fontId="5" fillId="0" borderId="6" xfId="49" applyFont="1" applyFill="1" applyBorder="1" applyAlignment="1" applyProtection="1">
      <alignment horizontal="center" vertical="center"/>
      <protection locked="0"/>
    </xf>
    <xf numFmtId="164" fontId="5" fillId="0" borderId="6" xfId="47" applyNumberFormat="1" applyFont="1" applyFill="1" applyBorder="1" applyAlignment="1" applyProtection="1">
      <alignment horizontal="center" vertical="center"/>
      <protection locked="0"/>
    </xf>
    <xf numFmtId="0" fontId="89" fillId="0" borderId="6" xfId="47" applyFont="1" applyFill="1" applyBorder="1" applyAlignment="1" applyProtection="1">
      <alignment horizontal="center" vertical="center" wrapText="1"/>
      <protection locked="0"/>
    </xf>
    <xf numFmtId="0" fontId="8" fillId="0" borderId="0" xfId="47" applyFont="1" applyFill="1" applyBorder="1" applyAlignment="1" applyProtection="1">
      <alignment horizontal="center" vertical="center"/>
      <protection locked="0"/>
    </xf>
    <xf numFmtId="0" fontId="8" fillId="0" borderId="28" xfId="47" applyFont="1" applyFill="1" applyBorder="1" applyAlignment="1" applyProtection="1">
      <alignment horizontal="center" vertical="center"/>
      <protection locked="0"/>
    </xf>
    <xf numFmtId="0" fontId="4" fillId="0" borderId="6" xfId="47" applyFont="1" applyFill="1" applyBorder="1" applyAlignment="1" applyProtection="1">
      <alignment horizontal="center" vertical="center" wrapText="1"/>
      <protection locked="0"/>
    </xf>
    <xf numFmtId="0" fontId="13" fillId="0" borderId="0" xfId="47" applyFont="1" applyFill="1" applyAlignment="1" applyProtection="1">
      <alignment horizontal="center"/>
      <protection locked="0"/>
    </xf>
    <xf numFmtId="0" fontId="13" fillId="0" borderId="0" xfId="47" applyFont="1" applyFill="1" applyAlignment="1" applyProtection="1">
      <alignment horizontal="left"/>
      <protection locked="0"/>
    </xf>
    <xf numFmtId="0" fontId="6" fillId="0" borderId="0" xfId="47" applyFont="1" applyFill="1" applyBorder="1" applyAlignment="1" applyProtection="1">
      <alignment horizontal="center" vertical="center"/>
      <protection locked="0"/>
    </xf>
    <xf numFmtId="0" fontId="8" fillId="0" borderId="0" xfId="47" applyFont="1" applyFill="1" applyBorder="1" applyAlignment="1" applyProtection="1">
      <alignment horizontal="left" vertical="center"/>
      <protection locked="0"/>
    </xf>
    <xf numFmtId="0" fontId="7" fillId="0" borderId="0" xfId="50" applyFont="1" applyFill="1" applyAlignment="1" applyProtection="1">
      <alignment horizontal="left" vertical="center"/>
      <protection hidden="1"/>
    </xf>
    <xf numFmtId="9" fontId="3" fillId="0" borderId="6" xfId="0" applyNumberFormat="1" applyFont="1" applyFill="1" applyBorder="1" applyAlignment="1" applyProtection="1">
      <alignment horizontal="center" vertical="center" wrapText="1"/>
      <protection locked="0"/>
    </xf>
    <xf numFmtId="0" fontId="59" fillId="0" borderId="89" xfId="0" applyFont="1" applyFill="1" applyBorder="1" applyAlignment="1" applyProtection="1">
      <alignment horizontal="center" vertical="center" wrapText="1"/>
      <protection locked="0"/>
    </xf>
    <xf numFmtId="0" fontId="3" fillId="0" borderId="30" xfId="0" applyFont="1" applyFill="1" applyBorder="1" applyAlignment="1" applyProtection="1">
      <alignment horizontal="center" vertical="center" wrapText="1"/>
      <protection locked="0"/>
    </xf>
    <xf numFmtId="0" fontId="3" fillId="0" borderId="31" xfId="0" applyFont="1" applyFill="1" applyBorder="1" applyAlignment="1" applyProtection="1">
      <alignment horizontal="center" vertical="center" wrapText="1"/>
      <protection locked="0"/>
    </xf>
    <xf numFmtId="0" fontId="3" fillId="0" borderId="11" xfId="0" applyFont="1" applyFill="1" applyBorder="1" applyAlignment="1" applyProtection="1">
      <alignment horizontal="center" vertical="center" wrapText="1"/>
      <protection locked="0"/>
    </xf>
    <xf numFmtId="0" fontId="3" fillId="0" borderId="54" xfId="0" applyFont="1" applyFill="1" applyBorder="1" applyAlignment="1" applyProtection="1">
      <alignment horizontal="center" vertical="center" wrapText="1"/>
      <protection locked="0"/>
    </xf>
    <xf numFmtId="0" fontId="3" fillId="0" borderId="55" xfId="0" applyFont="1" applyFill="1" applyBorder="1" applyAlignment="1" applyProtection="1">
      <alignment horizontal="center" vertical="center" wrapText="1"/>
      <protection locked="0"/>
    </xf>
    <xf numFmtId="0" fontId="3" fillId="0" borderId="89" xfId="0" applyFont="1" applyFill="1" applyBorder="1" applyAlignment="1" applyProtection="1">
      <alignment horizontal="center" vertical="center" wrapText="1"/>
      <protection locked="0"/>
    </xf>
    <xf numFmtId="0" fontId="3" fillId="0" borderId="90" xfId="0" applyFont="1" applyFill="1" applyBorder="1" applyAlignment="1" applyProtection="1">
      <alignment horizontal="center" vertical="center" wrapText="1"/>
      <protection locked="0"/>
    </xf>
    <xf numFmtId="0" fontId="3" fillId="0" borderId="84" xfId="0" applyFont="1" applyFill="1" applyBorder="1" applyAlignment="1" applyProtection="1">
      <alignment horizontal="center" vertical="center" wrapText="1"/>
      <protection locked="0"/>
    </xf>
    <xf numFmtId="0" fontId="3" fillId="0" borderId="47" xfId="0" applyFont="1" applyFill="1" applyBorder="1" applyAlignment="1" applyProtection="1">
      <alignment horizontal="center" vertical="center" wrapText="1"/>
      <protection locked="0"/>
    </xf>
    <xf numFmtId="0" fontId="10" fillId="0" borderId="0" xfId="49" applyFont="1" applyFill="1" applyAlignment="1" applyProtection="1">
      <alignment horizontal="justify" vertical="center"/>
      <protection hidden="1"/>
    </xf>
    <xf numFmtId="0" fontId="3" fillId="0" borderId="12"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3" fillId="0" borderId="13" xfId="0" applyFont="1" applyFill="1" applyBorder="1" applyAlignment="1" applyProtection="1">
      <alignment horizontal="center" vertical="center" wrapText="1"/>
      <protection locked="0"/>
    </xf>
    <xf numFmtId="0" fontId="4" fillId="0" borderId="30" xfId="49" applyFont="1" applyFill="1" applyBorder="1" applyAlignment="1" applyProtection="1">
      <alignment horizontal="center" vertical="center" wrapText="1"/>
      <protection locked="0"/>
    </xf>
    <xf numFmtId="0" fontId="4" fillId="0" borderId="31" xfId="49" applyFont="1" applyFill="1" applyBorder="1" applyAlignment="1" applyProtection="1">
      <alignment horizontal="center" vertical="center" wrapText="1"/>
      <protection locked="0"/>
    </xf>
    <xf numFmtId="0" fontId="4" fillId="0" borderId="11" xfId="49" applyFont="1" applyFill="1" applyBorder="1" applyAlignment="1" applyProtection="1">
      <alignment horizontal="center" vertical="center" wrapText="1"/>
      <protection locked="0"/>
    </xf>
    <xf numFmtId="0" fontId="8" fillId="0" borderId="0" xfId="49" applyFont="1" applyFill="1" applyBorder="1" applyAlignment="1" applyProtection="1">
      <alignment horizontal="left" vertical="center"/>
      <protection hidden="1"/>
    </xf>
    <xf numFmtId="0" fontId="12" fillId="0" borderId="0" xfId="49" applyFont="1" applyFill="1" applyBorder="1" applyAlignment="1" applyProtection="1">
      <alignment horizontal="center" vertical="center"/>
      <protection hidden="1"/>
    </xf>
    <xf numFmtId="0" fontId="61" fillId="0" borderId="89" xfId="0" applyFont="1" applyFill="1" applyBorder="1" applyAlignment="1" applyProtection="1">
      <alignment horizontal="center" vertical="center" wrapText="1"/>
      <protection locked="0"/>
    </xf>
    <xf numFmtId="0" fontId="66" fillId="0" borderId="29" xfId="49" applyFont="1" applyFill="1" applyBorder="1" applyAlignment="1" applyProtection="1">
      <alignment horizontal="left" vertical="center"/>
      <protection locked="0"/>
    </xf>
    <xf numFmtId="0" fontId="65" fillId="0" borderId="89" xfId="0" applyFont="1" applyFill="1" applyBorder="1" applyAlignment="1" applyProtection="1">
      <alignment horizontal="center" vertical="center" wrapText="1"/>
      <protection locked="0"/>
    </xf>
    <xf numFmtId="0" fontId="5" fillId="0" borderId="0" xfId="0" applyFont="1" applyBorder="1" applyAlignment="1" applyProtection="1">
      <alignment horizontal="center" vertical="center"/>
      <protection hidden="1"/>
    </xf>
    <xf numFmtId="0" fontId="19" fillId="0" borderId="28" xfId="0" applyFont="1" applyFill="1" applyBorder="1" applyAlignment="1" applyProtection="1">
      <alignment horizontal="center" vertical="center"/>
      <protection hidden="1"/>
    </xf>
    <xf numFmtId="0" fontId="6" fillId="0" borderId="0" xfId="0" applyFont="1" applyBorder="1" applyAlignment="1" applyProtection="1">
      <alignment horizontal="center" vertical="center"/>
      <protection hidden="1"/>
    </xf>
    <xf numFmtId="0" fontId="3" fillId="0" borderId="12" xfId="0" applyFont="1" applyBorder="1" applyAlignment="1" applyProtection="1">
      <alignment horizontal="center" vertical="center"/>
      <protection hidden="1"/>
    </xf>
    <xf numFmtId="0" fontId="3" fillId="0" borderId="4" xfId="0" applyFont="1" applyBorder="1" applyAlignment="1" applyProtection="1">
      <alignment horizontal="center" vertical="center"/>
      <protection hidden="1"/>
    </xf>
    <xf numFmtId="0" fontId="3" fillId="0" borderId="13" xfId="0" applyFont="1" applyBorder="1" applyAlignment="1" applyProtection="1">
      <alignment horizontal="center" vertical="center"/>
      <protection hidden="1"/>
    </xf>
    <xf numFmtId="0" fontId="3" fillId="0" borderId="12" xfId="0" applyFont="1" applyBorder="1" applyAlignment="1" applyProtection="1">
      <alignment horizontal="right" vertical="center" wrapText="1"/>
      <protection hidden="1"/>
    </xf>
    <xf numFmtId="0" fontId="3" fillId="0" borderId="4" xfId="0" applyFont="1" applyBorder="1" applyAlignment="1" applyProtection="1">
      <alignment horizontal="right" vertical="center" wrapText="1"/>
      <protection hidden="1"/>
    </xf>
    <xf numFmtId="0" fontId="3" fillId="0" borderId="13" xfId="0" applyFont="1" applyBorder="1" applyAlignment="1" applyProtection="1">
      <alignment horizontal="right" vertical="center" wrapText="1"/>
      <protection hidden="1"/>
    </xf>
    <xf numFmtId="0" fontId="3" fillId="0" borderId="0" xfId="0" applyFont="1" applyBorder="1" applyAlignment="1" applyProtection="1">
      <alignment horizontal="center" vertical="center"/>
      <protection hidden="1"/>
    </xf>
    <xf numFmtId="0" fontId="3" fillId="0" borderId="0" xfId="0" applyFont="1" applyAlignment="1" applyProtection="1">
      <alignment horizontal="center" vertical="center"/>
      <protection hidden="1"/>
    </xf>
    <xf numFmtId="0" fontId="3" fillId="0" borderId="6" xfId="0" applyFont="1" applyBorder="1" applyAlignment="1" applyProtection="1">
      <alignment horizontal="center" vertical="center" wrapText="1"/>
      <protection hidden="1"/>
    </xf>
  </cellXfs>
  <cellStyles count="7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0" xfId="29"/>
    <cellStyle name="Currency0" xfId="30"/>
    <cellStyle name="Date" xfId="31"/>
    <cellStyle name="Explanatory Text" xfId="32" builtinId="53" customBuiltin="1"/>
    <cellStyle name="Fixed" xfId="33"/>
    <cellStyle name="Good" xfId="34" builtinId="26" customBuiltin="1"/>
    <cellStyle name="Header1" xfId="35"/>
    <cellStyle name="Header2" xfId="36"/>
    <cellStyle name="Heading 1" xfId="37" builtinId="16" customBuiltin="1"/>
    <cellStyle name="Heading 2" xfId="38" builtinId="17" customBuiltin="1"/>
    <cellStyle name="Heading 3" xfId="39" builtinId="18" customBuiltin="1"/>
    <cellStyle name="Heading 4" xfId="40" builtinId="19" customBuiltin="1"/>
    <cellStyle name="Hoa-Scholl" xfId="41"/>
    <cellStyle name="Input" xfId="42" builtinId="20" customBuiltin="1"/>
    <cellStyle name="Linked Cell" xfId="43" builtinId="24" customBuiltin="1"/>
    <cellStyle name="n" xfId="44"/>
    <cellStyle name="Neutral" xfId="45" builtinId="28" customBuiltin="1"/>
    <cellStyle name="Normal" xfId="0" builtinId="0"/>
    <cellStyle name="Normal 2" xfId="46"/>
    <cellStyle name="Normal_BANG DIEM HOC PHAN CAO DANG NIEN CHE" xfId="47"/>
    <cellStyle name="Normal_BANG DIEM HOC PHAN CD NIEN CHE" xfId="48"/>
    <cellStyle name="Normal_BANG DIEM HOC PHAN TCCN HK 01" xfId="49"/>
    <cellStyle name="Normal_BANG DIEM HOC PHAN TCCN HK 02" xfId="50"/>
    <cellStyle name="Normal_he so mon thi,kt  2013-2014" xfId="51"/>
    <cellStyle name="Normal_He so mon thi,kt  2013-2014 - khóa 2013" xfId="52"/>
    <cellStyle name="Note" xfId="53" builtinId="10" customBuiltin="1"/>
    <cellStyle name="Output" xfId="54" builtinId="21" customBuiltin="1"/>
    <cellStyle name="Title" xfId="55" builtinId="15" customBuiltin="1"/>
    <cellStyle name="Total" xfId="56" builtinId="25" customBuiltin="1"/>
    <cellStyle name="Warning Text" xfId="57" builtinId="11" customBuiltin="1"/>
    <cellStyle name=" [0.00]_ Att. 1- Cover" xfId="58"/>
    <cellStyle name="_ Att. 1- Cover" xfId="59"/>
    <cellStyle name="?_ Att. 1- Cover" xfId="60"/>
    <cellStyle name="똿뗦먛귟 [0.00]_PRODUCT DETAIL Q1" xfId="61"/>
    <cellStyle name="똿뗦먛귟_PRODUCT DETAIL Q1" xfId="62"/>
    <cellStyle name="믅됞 [0.00]_PRODUCT DETAIL Q1" xfId="63"/>
    <cellStyle name="믅됞_PRODUCT DETAIL Q1" xfId="64"/>
    <cellStyle name="백분율_95" xfId="65"/>
    <cellStyle name="뷭?_BOOKSHIP" xfId="66"/>
    <cellStyle name="콤마 [0]_1202" xfId="67"/>
    <cellStyle name="콤마_1202" xfId="68"/>
    <cellStyle name="통화 [0]_1202" xfId="69"/>
    <cellStyle name="통화_1202" xfId="70"/>
    <cellStyle name="표준_(정보부문)월별인원계획" xfId="71"/>
    <cellStyle name="一般_99Q3647-ALL-CAS2" xfId="72"/>
    <cellStyle name="千分位[0]_Book1" xfId="73"/>
    <cellStyle name="千分位_99Q3647-ALL-CAS2" xfId="74"/>
    <cellStyle name="貨幣 [0]_Book1" xfId="75"/>
    <cellStyle name="貨幣[0]_BRE" xfId="76"/>
    <cellStyle name="貨幣_Book1" xfId="77"/>
  </cellStyles>
  <dxfs count="25">
    <dxf>
      <fill>
        <patternFill>
          <bgColor indexed="41"/>
        </patternFill>
      </fill>
    </dxf>
    <dxf>
      <fill>
        <patternFill>
          <bgColor indexed="9"/>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patternType="solid">
          <bgColor theme="0"/>
        </patternFill>
      </fill>
    </dxf>
    <dxf>
      <fill>
        <patternFill>
          <bgColor rgb="FFFF99CC"/>
        </patternFill>
      </fill>
    </dxf>
    <dxf>
      <fill>
        <patternFill>
          <bgColor indexed="45"/>
        </patternFill>
      </fill>
    </dxf>
    <dxf>
      <fill>
        <patternFill patternType="solid">
          <bgColor theme="0"/>
        </patternFill>
      </fill>
    </dxf>
    <dxf>
      <fill>
        <patternFill>
          <bgColor rgb="FFFF99CC"/>
        </patternFill>
      </fill>
    </dxf>
    <dxf>
      <fill>
        <patternFill>
          <bgColor indexed="45"/>
        </patternFill>
      </fill>
    </dxf>
    <dxf>
      <fill>
        <patternFill>
          <bgColor indexed="45"/>
        </patternFill>
      </fill>
    </dxf>
    <dxf>
      <fill>
        <patternFill>
          <bgColor indexed="44"/>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8.xml"/><Relationship Id="rId3" Type="http://schemas.openxmlformats.org/officeDocument/2006/relationships/worksheet" Target="worksheets/sheet3.xml"/><Relationship Id="rId21" Type="http://schemas.openxmlformats.org/officeDocument/2006/relationships/externalLink" Target="externalLinks/externalLink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6.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5.xml"/><Relationship Id="rId28" Type="http://schemas.openxmlformats.org/officeDocument/2006/relationships/externalLink" Target="externalLinks/externalLink10.xml"/><Relationship Id="rId10" Type="http://schemas.openxmlformats.org/officeDocument/2006/relationships/worksheet" Target="worksheets/sheet10.xml"/><Relationship Id="rId19" Type="http://schemas.openxmlformats.org/officeDocument/2006/relationships/externalLink" Target="externalLinks/externalLink1.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4.xml"/><Relationship Id="rId27" Type="http://schemas.openxmlformats.org/officeDocument/2006/relationships/externalLink" Target="externalLinks/externalLink9.xml"/><Relationship Id="rId30"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219075</xdr:colOff>
      <xdr:row>0</xdr:row>
      <xdr:rowOff>0</xdr:rowOff>
    </xdr:from>
    <xdr:to>
      <xdr:col>4</xdr:col>
      <xdr:colOff>400050</xdr:colOff>
      <xdr:row>0</xdr:row>
      <xdr:rowOff>0</xdr:rowOff>
    </xdr:to>
    <xdr:sp macro="" textlink="">
      <xdr:nvSpPr>
        <xdr:cNvPr id="3693" name="Line 1"/>
        <xdr:cNvSpPr>
          <a:spLocks noChangeShapeType="1"/>
        </xdr:cNvSpPr>
      </xdr:nvSpPr>
      <xdr:spPr bwMode="auto">
        <a:xfrm>
          <a:off x="495300" y="0"/>
          <a:ext cx="2314575" cy="0"/>
        </a:xfrm>
        <a:prstGeom prst="line">
          <a:avLst/>
        </a:prstGeom>
        <a:noFill/>
        <a:ln w="9525">
          <a:solidFill>
            <a:srgbClr val="000000"/>
          </a:solidFill>
          <a:round/>
          <a:headEnd/>
          <a:tailEnd/>
        </a:ln>
      </xdr:spPr>
    </xdr:sp>
    <xdr:clientData/>
  </xdr:twoCellAnchor>
  <xdr:twoCellAnchor>
    <xdr:from>
      <xdr:col>4</xdr:col>
      <xdr:colOff>2162175</xdr:colOff>
      <xdr:row>0</xdr:row>
      <xdr:rowOff>0</xdr:rowOff>
    </xdr:from>
    <xdr:to>
      <xdr:col>7</xdr:col>
      <xdr:colOff>428625</xdr:colOff>
      <xdr:row>0</xdr:row>
      <xdr:rowOff>0</xdr:rowOff>
    </xdr:to>
    <xdr:sp macro="" textlink="">
      <xdr:nvSpPr>
        <xdr:cNvPr id="3694" name="Line 2"/>
        <xdr:cNvSpPr>
          <a:spLocks noChangeShapeType="1"/>
        </xdr:cNvSpPr>
      </xdr:nvSpPr>
      <xdr:spPr bwMode="auto">
        <a:xfrm>
          <a:off x="4572000" y="0"/>
          <a:ext cx="2895600" cy="0"/>
        </a:xfrm>
        <a:prstGeom prst="line">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228600</xdr:colOff>
      <xdr:row>2</xdr:row>
      <xdr:rowOff>38100</xdr:rowOff>
    </xdr:from>
    <xdr:to>
      <xdr:col>6</xdr:col>
      <xdr:colOff>190500</xdr:colOff>
      <xdr:row>2</xdr:row>
      <xdr:rowOff>38100</xdr:rowOff>
    </xdr:to>
    <xdr:sp macro="" textlink="">
      <xdr:nvSpPr>
        <xdr:cNvPr id="4658" name="Line 2"/>
        <xdr:cNvSpPr>
          <a:spLocks noChangeShapeType="1"/>
        </xdr:cNvSpPr>
      </xdr:nvSpPr>
      <xdr:spPr bwMode="auto">
        <a:xfrm>
          <a:off x="2933700" y="762000"/>
          <a:ext cx="1276350" cy="0"/>
        </a:xfrm>
        <a:prstGeom prst="line">
          <a:avLst/>
        </a:prstGeom>
        <a:noFill/>
        <a:ln w="9525">
          <a:solidFill>
            <a:srgbClr val="000000"/>
          </a:solidFill>
          <a:round/>
          <a:headEnd/>
          <a:tailEnd/>
        </a:ln>
      </xdr:spPr>
    </xdr:sp>
    <xdr:clientData/>
  </xdr:twoCellAnchor>
  <xdr:twoCellAnchor>
    <xdr:from>
      <xdr:col>60</xdr:col>
      <xdr:colOff>828675</xdr:colOff>
      <xdr:row>1</xdr:row>
      <xdr:rowOff>323850</xdr:rowOff>
    </xdr:from>
    <xdr:to>
      <xdr:col>64</xdr:col>
      <xdr:colOff>142875</xdr:colOff>
      <xdr:row>1</xdr:row>
      <xdr:rowOff>323850</xdr:rowOff>
    </xdr:to>
    <xdr:sp macro="" textlink="">
      <xdr:nvSpPr>
        <xdr:cNvPr id="4659" name="Line 3"/>
        <xdr:cNvSpPr>
          <a:spLocks noChangeShapeType="1"/>
        </xdr:cNvSpPr>
      </xdr:nvSpPr>
      <xdr:spPr bwMode="auto">
        <a:xfrm>
          <a:off x="28479750" y="561975"/>
          <a:ext cx="2305050" cy="0"/>
        </a:xfrm>
        <a:prstGeom prst="line">
          <a:avLst/>
        </a:prstGeom>
        <a:noFill/>
        <a:ln w="9525">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438979</xdr:colOff>
      <xdr:row>2</xdr:row>
      <xdr:rowOff>49693</xdr:rowOff>
    </xdr:from>
    <xdr:to>
      <xdr:col>2</xdr:col>
      <xdr:colOff>1300370</xdr:colOff>
      <xdr:row>2</xdr:row>
      <xdr:rowOff>49693</xdr:rowOff>
    </xdr:to>
    <xdr:cxnSp macro="">
      <xdr:nvCxnSpPr>
        <xdr:cNvPr id="3" name="Straight Connector 2"/>
        <xdr:cNvCxnSpPr/>
      </xdr:nvCxnSpPr>
      <xdr:spPr>
        <a:xfrm>
          <a:off x="1466022" y="621193"/>
          <a:ext cx="8613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231911</xdr:colOff>
      <xdr:row>1</xdr:row>
      <xdr:rowOff>231913</xdr:rowOff>
    </xdr:from>
    <xdr:to>
      <xdr:col>12</xdr:col>
      <xdr:colOff>447259</xdr:colOff>
      <xdr:row>1</xdr:row>
      <xdr:rowOff>231913</xdr:rowOff>
    </xdr:to>
    <xdr:cxnSp macro="">
      <xdr:nvCxnSpPr>
        <xdr:cNvPr id="5" name="Straight Connector 4"/>
        <xdr:cNvCxnSpPr/>
      </xdr:nvCxnSpPr>
      <xdr:spPr>
        <a:xfrm>
          <a:off x="5010976" y="430696"/>
          <a:ext cx="206237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405848</xdr:colOff>
      <xdr:row>2</xdr:row>
      <xdr:rowOff>41410</xdr:rowOff>
    </xdr:from>
    <xdr:to>
      <xdr:col>2</xdr:col>
      <xdr:colOff>1316935</xdr:colOff>
      <xdr:row>2</xdr:row>
      <xdr:rowOff>41410</xdr:rowOff>
    </xdr:to>
    <xdr:cxnSp macro="">
      <xdr:nvCxnSpPr>
        <xdr:cNvPr id="3" name="Straight Connector 2"/>
        <xdr:cNvCxnSpPr/>
      </xdr:nvCxnSpPr>
      <xdr:spPr>
        <a:xfrm>
          <a:off x="1466022" y="612910"/>
          <a:ext cx="9110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140805</xdr:colOff>
      <xdr:row>1</xdr:row>
      <xdr:rowOff>240194</xdr:rowOff>
    </xdr:from>
    <xdr:to>
      <xdr:col>12</xdr:col>
      <xdr:colOff>447261</xdr:colOff>
      <xdr:row>1</xdr:row>
      <xdr:rowOff>240194</xdr:rowOff>
    </xdr:to>
    <xdr:cxnSp macro="">
      <xdr:nvCxnSpPr>
        <xdr:cNvPr id="5" name="Straight Connector 4"/>
        <xdr:cNvCxnSpPr/>
      </xdr:nvCxnSpPr>
      <xdr:spPr>
        <a:xfrm>
          <a:off x="5044109" y="438977"/>
          <a:ext cx="20955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337038</xdr:colOff>
      <xdr:row>2</xdr:row>
      <xdr:rowOff>51289</xdr:rowOff>
    </xdr:from>
    <xdr:to>
      <xdr:col>3</xdr:col>
      <xdr:colOff>14653</xdr:colOff>
      <xdr:row>2</xdr:row>
      <xdr:rowOff>51289</xdr:rowOff>
    </xdr:to>
    <xdr:cxnSp macro="">
      <xdr:nvCxnSpPr>
        <xdr:cNvPr id="3" name="Straight Connector 2"/>
        <xdr:cNvCxnSpPr/>
      </xdr:nvCxnSpPr>
      <xdr:spPr>
        <a:xfrm>
          <a:off x="1311519" y="622789"/>
          <a:ext cx="93784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95249</xdr:colOff>
      <xdr:row>1</xdr:row>
      <xdr:rowOff>241788</xdr:rowOff>
    </xdr:from>
    <xdr:to>
      <xdr:col>12</xdr:col>
      <xdr:colOff>483576</xdr:colOff>
      <xdr:row>1</xdr:row>
      <xdr:rowOff>241788</xdr:rowOff>
    </xdr:to>
    <xdr:cxnSp macro="">
      <xdr:nvCxnSpPr>
        <xdr:cNvPr id="5" name="Straight Connector 4"/>
        <xdr:cNvCxnSpPr/>
      </xdr:nvCxnSpPr>
      <xdr:spPr>
        <a:xfrm>
          <a:off x="4579326" y="439615"/>
          <a:ext cx="217609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505557</xdr:colOff>
      <xdr:row>2</xdr:row>
      <xdr:rowOff>36634</xdr:rowOff>
    </xdr:from>
    <xdr:to>
      <xdr:col>2</xdr:col>
      <xdr:colOff>1370134</xdr:colOff>
      <xdr:row>2</xdr:row>
      <xdr:rowOff>36634</xdr:rowOff>
    </xdr:to>
    <xdr:cxnSp macro="">
      <xdr:nvCxnSpPr>
        <xdr:cNvPr id="3" name="Straight Connector 2"/>
        <xdr:cNvCxnSpPr/>
      </xdr:nvCxnSpPr>
      <xdr:spPr>
        <a:xfrm>
          <a:off x="1480038" y="608134"/>
          <a:ext cx="86457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36634</xdr:colOff>
      <xdr:row>1</xdr:row>
      <xdr:rowOff>227134</xdr:rowOff>
    </xdr:from>
    <xdr:to>
      <xdr:col>12</xdr:col>
      <xdr:colOff>490903</xdr:colOff>
      <xdr:row>1</xdr:row>
      <xdr:rowOff>227134</xdr:rowOff>
    </xdr:to>
    <xdr:cxnSp macro="">
      <xdr:nvCxnSpPr>
        <xdr:cNvPr id="5" name="Straight Connector 4"/>
        <xdr:cNvCxnSpPr/>
      </xdr:nvCxnSpPr>
      <xdr:spPr>
        <a:xfrm>
          <a:off x="4681903" y="424961"/>
          <a:ext cx="218342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351692</xdr:colOff>
      <xdr:row>2</xdr:row>
      <xdr:rowOff>36634</xdr:rowOff>
    </xdr:from>
    <xdr:to>
      <xdr:col>2</xdr:col>
      <xdr:colOff>1282211</xdr:colOff>
      <xdr:row>2</xdr:row>
      <xdr:rowOff>36634</xdr:rowOff>
    </xdr:to>
    <xdr:cxnSp macro="">
      <xdr:nvCxnSpPr>
        <xdr:cNvPr id="3" name="Straight Connector 2"/>
        <xdr:cNvCxnSpPr/>
      </xdr:nvCxnSpPr>
      <xdr:spPr>
        <a:xfrm>
          <a:off x="1340827" y="608134"/>
          <a:ext cx="93051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58616</xdr:colOff>
      <xdr:row>1</xdr:row>
      <xdr:rowOff>241788</xdr:rowOff>
    </xdr:from>
    <xdr:to>
      <xdr:col>12</xdr:col>
      <xdr:colOff>542192</xdr:colOff>
      <xdr:row>1</xdr:row>
      <xdr:rowOff>241788</xdr:rowOff>
    </xdr:to>
    <xdr:cxnSp macro="">
      <xdr:nvCxnSpPr>
        <xdr:cNvPr id="5" name="Straight Connector 4"/>
        <xdr:cNvCxnSpPr/>
      </xdr:nvCxnSpPr>
      <xdr:spPr>
        <a:xfrm>
          <a:off x="4615962" y="439615"/>
          <a:ext cx="221273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314325</xdr:colOff>
      <xdr:row>2</xdr:row>
      <xdr:rowOff>66675</xdr:rowOff>
    </xdr:from>
    <xdr:to>
      <xdr:col>3</xdr:col>
      <xdr:colOff>28575</xdr:colOff>
      <xdr:row>2</xdr:row>
      <xdr:rowOff>66675</xdr:rowOff>
    </xdr:to>
    <xdr:cxnSp macro="">
      <xdr:nvCxnSpPr>
        <xdr:cNvPr id="3" name="Straight Connector 2"/>
        <xdr:cNvCxnSpPr/>
      </xdr:nvCxnSpPr>
      <xdr:spPr>
        <a:xfrm>
          <a:off x="1362075" y="638175"/>
          <a:ext cx="971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133350</xdr:colOff>
      <xdr:row>1</xdr:row>
      <xdr:rowOff>238125</xdr:rowOff>
    </xdr:from>
    <xdr:to>
      <xdr:col>12</xdr:col>
      <xdr:colOff>466725</xdr:colOff>
      <xdr:row>1</xdr:row>
      <xdr:rowOff>238125</xdr:rowOff>
    </xdr:to>
    <xdr:cxnSp macro="">
      <xdr:nvCxnSpPr>
        <xdr:cNvPr id="5" name="Straight Connector 4"/>
        <xdr:cNvCxnSpPr/>
      </xdr:nvCxnSpPr>
      <xdr:spPr>
        <a:xfrm>
          <a:off x="4695825" y="438150"/>
          <a:ext cx="20478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304800</xdr:colOff>
      <xdr:row>2</xdr:row>
      <xdr:rowOff>66675</xdr:rowOff>
    </xdr:from>
    <xdr:to>
      <xdr:col>3</xdr:col>
      <xdr:colOff>19050</xdr:colOff>
      <xdr:row>2</xdr:row>
      <xdr:rowOff>66675</xdr:rowOff>
    </xdr:to>
    <xdr:cxnSp macro="">
      <xdr:nvCxnSpPr>
        <xdr:cNvPr id="3" name="Straight Connector 2"/>
        <xdr:cNvCxnSpPr/>
      </xdr:nvCxnSpPr>
      <xdr:spPr>
        <a:xfrm>
          <a:off x="1352550" y="638175"/>
          <a:ext cx="971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171450</xdr:colOff>
      <xdr:row>1</xdr:row>
      <xdr:rowOff>238125</xdr:rowOff>
    </xdr:from>
    <xdr:to>
      <xdr:col>12</xdr:col>
      <xdr:colOff>514350</xdr:colOff>
      <xdr:row>1</xdr:row>
      <xdr:rowOff>238125</xdr:rowOff>
    </xdr:to>
    <xdr:cxnSp macro="">
      <xdr:nvCxnSpPr>
        <xdr:cNvPr id="5" name="Straight Connector 4"/>
        <xdr:cNvCxnSpPr/>
      </xdr:nvCxnSpPr>
      <xdr:spPr>
        <a:xfrm>
          <a:off x="4705350" y="438150"/>
          <a:ext cx="20478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409575</xdr:colOff>
      <xdr:row>2</xdr:row>
      <xdr:rowOff>47625</xdr:rowOff>
    </xdr:from>
    <xdr:to>
      <xdr:col>2</xdr:col>
      <xdr:colOff>1438275</xdr:colOff>
      <xdr:row>2</xdr:row>
      <xdr:rowOff>47625</xdr:rowOff>
    </xdr:to>
    <xdr:cxnSp macro="">
      <xdr:nvCxnSpPr>
        <xdr:cNvPr id="3" name="Straight Connector 2"/>
        <xdr:cNvCxnSpPr/>
      </xdr:nvCxnSpPr>
      <xdr:spPr>
        <a:xfrm>
          <a:off x="1609725" y="619125"/>
          <a:ext cx="10287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171450</xdr:colOff>
      <xdr:row>1</xdr:row>
      <xdr:rowOff>238125</xdr:rowOff>
    </xdr:from>
    <xdr:to>
      <xdr:col>13</xdr:col>
      <xdr:colOff>104775</xdr:colOff>
      <xdr:row>1</xdr:row>
      <xdr:rowOff>238125</xdr:rowOff>
    </xdr:to>
    <xdr:cxnSp macro="">
      <xdr:nvCxnSpPr>
        <xdr:cNvPr id="5" name="Straight Connector 4"/>
        <xdr:cNvCxnSpPr/>
      </xdr:nvCxnSpPr>
      <xdr:spPr>
        <a:xfrm>
          <a:off x="4838700" y="438150"/>
          <a:ext cx="1990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428625</xdr:colOff>
      <xdr:row>2</xdr:row>
      <xdr:rowOff>47625</xdr:rowOff>
    </xdr:from>
    <xdr:to>
      <xdr:col>2</xdr:col>
      <xdr:colOff>1438275</xdr:colOff>
      <xdr:row>2</xdr:row>
      <xdr:rowOff>47625</xdr:rowOff>
    </xdr:to>
    <xdr:cxnSp macro="">
      <xdr:nvCxnSpPr>
        <xdr:cNvPr id="3" name="Straight Connector 2"/>
        <xdr:cNvCxnSpPr/>
      </xdr:nvCxnSpPr>
      <xdr:spPr>
        <a:xfrm>
          <a:off x="1628775" y="619125"/>
          <a:ext cx="10096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152400</xdr:colOff>
      <xdr:row>1</xdr:row>
      <xdr:rowOff>247650</xdr:rowOff>
    </xdr:from>
    <xdr:to>
      <xdr:col>13</xdr:col>
      <xdr:colOff>104775</xdr:colOff>
      <xdr:row>1</xdr:row>
      <xdr:rowOff>247650</xdr:rowOff>
    </xdr:to>
    <xdr:cxnSp macro="">
      <xdr:nvCxnSpPr>
        <xdr:cNvPr id="5" name="Straight Connector 4"/>
        <xdr:cNvCxnSpPr/>
      </xdr:nvCxnSpPr>
      <xdr:spPr>
        <a:xfrm>
          <a:off x="4819650" y="447675"/>
          <a:ext cx="2009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320387</xdr:colOff>
      <xdr:row>2</xdr:row>
      <xdr:rowOff>34637</xdr:rowOff>
    </xdr:from>
    <xdr:to>
      <xdr:col>3</xdr:col>
      <xdr:colOff>0</xdr:colOff>
      <xdr:row>2</xdr:row>
      <xdr:rowOff>34637</xdr:rowOff>
    </xdr:to>
    <xdr:cxnSp macro="">
      <xdr:nvCxnSpPr>
        <xdr:cNvPr id="3" name="Straight Connector 2"/>
        <xdr:cNvCxnSpPr/>
      </xdr:nvCxnSpPr>
      <xdr:spPr>
        <a:xfrm>
          <a:off x="1385455" y="640773"/>
          <a:ext cx="96981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242455</xdr:colOff>
      <xdr:row>1</xdr:row>
      <xdr:rowOff>242454</xdr:rowOff>
    </xdr:from>
    <xdr:to>
      <xdr:col>13</xdr:col>
      <xdr:colOff>199160</xdr:colOff>
      <xdr:row>1</xdr:row>
      <xdr:rowOff>242454</xdr:rowOff>
    </xdr:to>
    <xdr:cxnSp macro="">
      <xdr:nvCxnSpPr>
        <xdr:cNvPr id="5" name="Straight Connector 4"/>
        <xdr:cNvCxnSpPr/>
      </xdr:nvCxnSpPr>
      <xdr:spPr>
        <a:xfrm>
          <a:off x="4251614" y="441613"/>
          <a:ext cx="20868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266700</xdr:colOff>
      <xdr:row>2</xdr:row>
      <xdr:rowOff>38100</xdr:rowOff>
    </xdr:from>
    <xdr:to>
      <xdr:col>2</xdr:col>
      <xdr:colOff>1190625</xdr:colOff>
      <xdr:row>2</xdr:row>
      <xdr:rowOff>38100</xdr:rowOff>
    </xdr:to>
    <xdr:cxnSp macro="">
      <xdr:nvCxnSpPr>
        <xdr:cNvPr id="3" name="Straight Connector 2"/>
        <xdr:cNvCxnSpPr/>
      </xdr:nvCxnSpPr>
      <xdr:spPr>
        <a:xfrm>
          <a:off x="1381125" y="657225"/>
          <a:ext cx="9239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228600</xdr:colOff>
      <xdr:row>1</xdr:row>
      <xdr:rowOff>247650</xdr:rowOff>
    </xdr:from>
    <xdr:to>
      <xdr:col>13</xdr:col>
      <xdr:colOff>161925</xdr:colOff>
      <xdr:row>1</xdr:row>
      <xdr:rowOff>247650</xdr:rowOff>
    </xdr:to>
    <xdr:cxnSp macro="">
      <xdr:nvCxnSpPr>
        <xdr:cNvPr id="5" name="Straight Connector 4"/>
        <xdr:cNvCxnSpPr/>
      </xdr:nvCxnSpPr>
      <xdr:spPr>
        <a:xfrm>
          <a:off x="4286250" y="447675"/>
          <a:ext cx="20478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2</xdr:col>
      <xdr:colOff>276225</xdr:colOff>
      <xdr:row>2</xdr:row>
      <xdr:rowOff>19050</xdr:rowOff>
    </xdr:from>
    <xdr:to>
      <xdr:col>2</xdr:col>
      <xdr:colOff>1238250</xdr:colOff>
      <xdr:row>2</xdr:row>
      <xdr:rowOff>19050</xdr:rowOff>
    </xdr:to>
    <xdr:cxnSp macro="">
      <xdr:nvCxnSpPr>
        <xdr:cNvPr id="3" name="Straight Connector 2"/>
        <xdr:cNvCxnSpPr/>
      </xdr:nvCxnSpPr>
      <xdr:spPr>
        <a:xfrm>
          <a:off x="1419225" y="647700"/>
          <a:ext cx="962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228600</xdr:colOff>
      <xdr:row>1</xdr:row>
      <xdr:rowOff>238125</xdr:rowOff>
    </xdr:from>
    <xdr:to>
      <xdr:col>13</xdr:col>
      <xdr:colOff>142875</xdr:colOff>
      <xdr:row>1</xdr:row>
      <xdr:rowOff>238125</xdr:rowOff>
    </xdr:to>
    <xdr:cxnSp macro="">
      <xdr:nvCxnSpPr>
        <xdr:cNvPr id="5" name="Straight Connector 4"/>
        <xdr:cNvCxnSpPr/>
      </xdr:nvCxnSpPr>
      <xdr:spPr>
        <a:xfrm>
          <a:off x="4295775" y="438150"/>
          <a:ext cx="20288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ungquat/goi3/Form%20nop%20thau/PNT-P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ER\PROJECT\PROP\DA0630\INQ'Y\STEEL\DA0463BQ.XLW"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ung%20Quat/Nhom%20GC/New%20Folder/My%20Documents/3533/99Q/99Q3657/99Q3299(REV.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Minh/AppData/Local/Microsoft/Windows/Temporary%20Internet%20Files/Content.IE5/1UV6ZGTQ/DOCUMENT/DAUTHAU/Dungquat/GOI3/DUNGQUAT-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ung%20Quat/Nhom%20GC/New%20Folder/My%20Documents/3533/99Q/99Q3657/99Q3299(REV.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N:\MGT-DRT\MGT-IMPR\MGT-SC@\DA0463\QTN-INSN\WILLICH\INSU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N:\MGT-DRT\MGT-IMPR\MGT-SC@\BA0397\INSULT'N\INS\ASK\PIPE-03E.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Dung%20Quat/Nhom%20GC/New%20Folder/My%20Documents/3533/96Q/96q2588/PANEL.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RVER\PROJECT\WINDOWS\TEMP\IBASE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Minh/AppData/Local/Microsoft/Windows/Temporary%20Internet%20Files/Content.IE5/1UV6ZGTQ/CS3408/Standard/RP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NT-QUOT-#3"/>
      <sheetName val="COAT&amp;WRAP-QIOT-#3"/>
      <sheetName val="XL4Poppy"/>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Q FORM FOR INQUIRY"/>
      <sheetName val="FORM OF PROPOSAL RFP-003"/>
      <sheetName val="??-BLDG"/>
      <sheetName val="???????-BLDG"/>
      <sheetName val="__-BLDG"/>
      <sheetName val="_______-BLDG"/>
      <sheetName val="IBASE"/>
    </sheetNames>
    <sheetDataSet>
      <sheetData sheetId="0"/>
      <sheetData sheetId="1"/>
      <sheetData sheetId="2"/>
      <sheetData sheetId="3"/>
      <sheetData sheetId="4"/>
      <sheetData sheetId="5"/>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O REV.1(ARMOR)"/>
      <sheetName val="SUM-BQ-REV.1"/>
      <sheetName val="VENDOR-QUOTES"/>
      <sheetName val="HV SWGR &amp; MCC"/>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 val="PBD"/>
      <sheetName val="MTO REV.0(NON-ARMOR)"/>
      <sheetName val="MTO REV.0(ARMOR ON SHORE)"/>
      <sheetName val="CABLE"/>
      <sheetName val="MTO REV.2(ARMOR)"/>
      <sheetName val="SUM-BQ-REV.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L$-INTER"/>
      <sheetName val="MTL$-TRUNCK-AG"/>
      <sheetName val="MTL$-PRODTANK-UG"/>
      <sheetName val="MTL$-PRODTANK-AG"/>
      <sheetName val="MTL$-JETTY"/>
      <sheetName val="MTL$-TRUNCK-UG"/>
      <sheetName val="XL4Poppy"/>
    </sheetNames>
    <sheetDataSet>
      <sheetData sheetId="0"/>
      <sheetData sheetId="1"/>
      <sheetData sheetId="2"/>
      <sheetData sheetId="3"/>
      <sheetData sheetId="4"/>
      <sheetData sheetId="5"/>
      <sheetData sheetId="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BLE"/>
      <sheetName val="MTO REV.0"/>
      <sheetName val="VENDOR-QUOTES"/>
      <sheetName val="SUM REV.0"/>
      <sheetName val="SUM-BQ"/>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s>
    <sheetDataSet>
      <sheetData sheetId="0" refreshError="1"/>
      <sheetData sheetId="1">
        <row r="1">
          <cell r="A1" t="str">
            <v>PRICE BREAKDOWN FOR ELECTRICAL INSTALLATION WORK</v>
          </cell>
          <cell r="G1" t="str">
            <v xml:space="preserve"> </v>
          </cell>
          <cell r="K1" t="str">
            <v xml:space="preserve"> </v>
          </cell>
        </row>
        <row r="2">
          <cell r="B2" t="str">
            <v>東鼎  LNG TERMINAL</v>
          </cell>
          <cell r="G2" t="str">
            <v xml:space="preserve"> </v>
          </cell>
          <cell r="I2" t="str">
            <v>CTCI Q. NO. : 99Q3299</v>
          </cell>
          <cell r="P2" t="str">
            <v>CTCI Q. NO. : 99Q3299</v>
          </cell>
        </row>
        <row r="3">
          <cell r="B3" t="str">
            <v>LOCATION: 桃園 觀塘工業區</v>
          </cell>
        </row>
        <row r="5">
          <cell r="E5" t="str">
            <v xml:space="preserve">                  TO SITE</v>
          </cell>
          <cell r="G5" t="str">
            <v xml:space="preserve">                  TO SITE</v>
          </cell>
          <cell r="K5" t="str">
            <v xml:space="preserve">                  TO SITE</v>
          </cell>
          <cell r="M5" t="str">
            <v xml:space="preserve">                  TO SITE</v>
          </cell>
        </row>
        <row r="6">
          <cell r="E6" t="str">
            <v xml:space="preserve"> ON SHORE MAT'L (NET) NT$</v>
          </cell>
          <cell r="G6" t="str">
            <v xml:space="preserve"> OFF SHORE MAT'L (NET) US$</v>
          </cell>
          <cell r="I6" t="str">
            <v xml:space="preserve">          LABOR MH (NET) </v>
          </cell>
          <cell r="K6" t="str">
            <v xml:space="preserve">     ON SHORE MAT'L NT$</v>
          </cell>
          <cell r="M6" t="str">
            <v xml:space="preserve">   OFF SHORE MAT'L US$</v>
          </cell>
          <cell r="O6" t="str">
            <v xml:space="preserve">        LABOR PRICE NT$</v>
          </cell>
          <cell r="Q6" t="str">
            <v>REMARK</v>
          </cell>
        </row>
        <row r="7">
          <cell r="A7" t="str">
            <v>NO.</v>
          </cell>
          <cell r="B7" t="str">
            <v>DESCRIPTION</v>
          </cell>
          <cell r="C7" t="str">
            <v>Q'TY</v>
          </cell>
          <cell r="D7" t="str">
            <v>UNIT</v>
          </cell>
          <cell r="E7" t="str">
            <v>U/P</v>
          </cell>
          <cell r="F7" t="str">
            <v>TOTAL</v>
          </cell>
          <cell r="G7" t="str">
            <v>U/P</v>
          </cell>
          <cell r="H7" t="str">
            <v>TOTAL</v>
          </cell>
          <cell r="I7" t="str">
            <v>U/P</v>
          </cell>
          <cell r="J7" t="str">
            <v>TOTAL</v>
          </cell>
          <cell r="K7" t="str">
            <v>U/P</v>
          </cell>
          <cell r="L7" t="str">
            <v>TOTAL</v>
          </cell>
          <cell r="M7" t="str">
            <v>U/P</v>
          </cell>
          <cell r="N7" t="str">
            <v>TOTAL</v>
          </cell>
          <cell r="O7" t="str">
            <v>U/P</v>
          </cell>
          <cell r="P7" t="str">
            <v>TOTAL</v>
          </cell>
        </row>
        <row r="9">
          <cell r="A9" t="str">
            <v>ALT-1</v>
          </cell>
          <cell r="B9" t="str">
            <v xml:space="preserve">         PRICE SUMMARY</v>
          </cell>
        </row>
        <row r="11">
          <cell r="A11" t="str">
            <v xml:space="preserve">  A.</v>
          </cell>
          <cell r="B11" t="str">
            <v xml:space="preserve"> POWER EQUIPMENT </v>
          </cell>
          <cell r="C11">
            <v>1</v>
          </cell>
          <cell r="D11" t="str">
            <v>LOT</v>
          </cell>
          <cell r="E11">
            <v>138612100</v>
          </cell>
          <cell r="F11">
            <v>138612100</v>
          </cell>
          <cell r="H11">
            <v>0</v>
          </cell>
          <cell r="I11">
            <v>13764</v>
          </cell>
          <cell r="J11">
            <v>13764</v>
          </cell>
          <cell r="K11">
            <v>138612100</v>
          </cell>
          <cell r="L11">
            <v>138612100</v>
          </cell>
          <cell r="M11">
            <v>0</v>
          </cell>
          <cell r="N11">
            <v>0</v>
          </cell>
          <cell r="O11">
            <v>6155030</v>
          </cell>
          <cell r="P11">
            <v>6155030</v>
          </cell>
        </row>
        <row r="12">
          <cell r="F12">
            <v>0</v>
          </cell>
          <cell r="J12">
            <v>0</v>
          </cell>
          <cell r="L12">
            <v>0</v>
          </cell>
          <cell r="P12">
            <v>0</v>
          </cell>
        </row>
        <row r="13">
          <cell r="A13" t="str">
            <v xml:space="preserve">  B.</v>
          </cell>
          <cell r="B13" t="str">
            <v xml:space="preserve"> POWER DISTRIBUTION SYSTEM</v>
          </cell>
          <cell r="C13">
            <v>130730</v>
          </cell>
          <cell r="D13" t="str">
            <v>M</v>
          </cell>
          <cell r="E13">
            <v>178.00177465004208</v>
          </cell>
          <cell r="F13">
            <v>23270172</v>
          </cell>
          <cell r="H13">
            <v>0</v>
          </cell>
          <cell r="I13">
            <v>0.25310181289681022</v>
          </cell>
          <cell r="J13">
            <v>33088</v>
          </cell>
          <cell r="K13">
            <v>178.00177465004208</v>
          </cell>
          <cell r="L13">
            <v>23270172</v>
          </cell>
          <cell r="M13">
            <v>0</v>
          </cell>
          <cell r="N13">
            <v>0</v>
          </cell>
          <cell r="O13">
            <v>70.851243019964812</v>
          </cell>
          <cell r="P13">
            <v>9262383</v>
          </cell>
        </row>
        <row r="14">
          <cell r="F14">
            <v>0</v>
          </cell>
          <cell r="H14">
            <v>0</v>
          </cell>
          <cell r="J14">
            <v>0</v>
          </cell>
          <cell r="K14">
            <v>0</v>
          </cell>
          <cell r="L14">
            <v>0</v>
          </cell>
          <cell r="M14">
            <v>0</v>
          </cell>
          <cell r="N14">
            <v>0</v>
          </cell>
          <cell r="O14">
            <v>0</v>
          </cell>
          <cell r="P14">
            <v>0</v>
          </cell>
        </row>
        <row r="15">
          <cell r="A15" t="str">
            <v xml:space="preserve">  C.</v>
          </cell>
          <cell r="B15" t="str">
            <v xml:space="preserve"> LIGHTING SYSTEM</v>
          </cell>
          <cell r="C15">
            <v>508</v>
          </cell>
          <cell r="D15" t="str">
            <v>SET</v>
          </cell>
          <cell r="E15">
            <v>18871.641732283464</v>
          </cell>
          <cell r="F15">
            <v>9586794</v>
          </cell>
          <cell r="H15">
            <v>0</v>
          </cell>
          <cell r="I15">
            <v>28.084645669291337</v>
          </cell>
          <cell r="J15">
            <v>14267</v>
          </cell>
          <cell r="K15">
            <v>18871.641732283464</v>
          </cell>
          <cell r="L15">
            <v>9586794</v>
          </cell>
          <cell r="M15">
            <v>0</v>
          </cell>
          <cell r="N15">
            <v>0</v>
          </cell>
          <cell r="O15">
            <v>8470.6830708661419</v>
          </cell>
          <cell r="P15">
            <v>4303107</v>
          </cell>
        </row>
        <row r="16">
          <cell r="F16">
            <v>0</v>
          </cell>
          <cell r="H16">
            <v>0</v>
          </cell>
          <cell r="J16">
            <v>0</v>
          </cell>
          <cell r="K16">
            <v>0</v>
          </cell>
          <cell r="L16">
            <v>0</v>
          </cell>
          <cell r="M16">
            <v>0</v>
          </cell>
          <cell r="N16">
            <v>0</v>
          </cell>
          <cell r="O16">
            <v>0</v>
          </cell>
          <cell r="P16">
            <v>0</v>
          </cell>
        </row>
        <row r="17">
          <cell r="A17" t="str">
            <v xml:space="preserve">  D.</v>
          </cell>
          <cell r="B17" t="str">
            <v xml:space="preserve"> GROUNDING &amp; LIGHTNING PROTECTION SYSTEM</v>
          </cell>
          <cell r="C17">
            <v>8620</v>
          </cell>
          <cell r="D17" t="str">
            <v>M</v>
          </cell>
          <cell r="E17">
            <v>104.6885150812065</v>
          </cell>
          <cell r="F17">
            <v>902415</v>
          </cell>
          <cell r="H17">
            <v>0</v>
          </cell>
          <cell r="I17">
            <v>0.40336426914153134</v>
          </cell>
          <cell r="J17">
            <v>3477</v>
          </cell>
          <cell r="K17">
            <v>104.6885150812065</v>
          </cell>
          <cell r="L17">
            <v>902415</v>
          </cell>
          <cell r="M17">
            <v>0</v>
          </cell>
          <cell r="N17">
            <v>0</v>
          </cell>
          <cell r="O17">
            <v>146.95568445475638</v>
          </cell>
          <cell r="P17">
            <v>1266758</v>
          </cell>
        </row>
        <row r="18">
          <cell r="F18">
            <v>0</v>
          </cell>
          <cell r="H18">
            <v>0</v>
          </cell>
          <cell r="J18">
            <v>0</v>
          </cell>
          <cell r="K18">
            <v>0</v>
          </cell>
          <cell r="L18">
            <v>0</v>
          </cell>
          <cell r="M18">
            <v>0</v>
          </cell>
          <cell r="N18">
            <v>0</v>
          </cell>
          <cell r="O18">
            <v>0</v>
          </cell>
          <cell r="P18">
            <v>0</v>
          </cell>
        </row>
        <row r="19">
          <cell r="A19" t="str">
            <v xml:space="preserve">  E.</v>
          </cell>
          <cell r="B19" t="str">
            <v xml:space="preserve"> TELEPHONE SYSTEM</v>
          </cell>
          <cell r="C19">
            <v>2250</v>
          </cell>
          <cell r="D19" t="str">
            <v>M</v>
          </cell>
          <cell r="E19">
            <v>219.19555555555556</v>
          </cell>
          <cell r="F19">
            <v>493190</v>
          </cell>
          <cell r="H19">
            <v>0</v>
          </cell>
          <cell r="I19">
            <v>0.20088888888888889</v>
          </cell>
          <cell r="J19">
            <v>452</v>
          </cell>
          <cell r="K19">
            <v>219.19555555555556</v>
          </cell>
          <cell r="L19">
            <v>493190</v>
          </cell>
          <cell r="M19">
            <v>0</v>
          </cell>
          <cell r="N19">
            <v>0</v>
          </cell>
          <cell r="O19">
            <v>56.222222222222221</v>
          </cell>
          <cell r="P19">
            <v>126500</v>
          </cell>
        </row>
        <row r="20">
          <cell r="F20">
            <v>0</v>
          </cell>
          <cell r="H20">
            <v>0</v>
          </cell>
          <cell r="J20">
            <v>0</v>
          </cell>
          <cell r="K20">
            <v>0</v>
          </cell>
          <cell r="L20">
            <v>0</v>
          </cell>
          <cell r="M20">
            <v>0</v>
          </cell>
          <cell r="N20">
            <v>0</v>
          </cell>
          <cell r="O20">
            <v>0</v>
          </cell>
          <cell r="P20">
            <v>0</v>
          </cell>
        </row>
        <row r="21">
          <cell r="A21" t="str">
            <v xml:space="preserve">  F.</v>
          </cell>
          <cell r="B21" t="str">
            <v xml:space="preserve"> PAGE/INTERCOMMUNICATION SYSTEM</v>
          </cell>
          <cell r="C21">
            <v>15</v>
          </cell>
          <cell r="D21" t="str">
            <v>SET</v>
          </cell>
          <cell r="E21">
            <v>67271.8</v>
          </cell>
          <cell r="F21">
            <v>1009077</v>
          </cell>
          <cell r="H21">
            <v>0</v>
          </cell>
          <cell r="I21">
            <v>87.266666666666666</v>
          </cell>
          <cell r="J21">
            <v>1309</v>
          </cell>
          <cell r="K21">
            <v>67271.8</v>
          </cell>
          <cell r="L21">
            <v>1009077</v>
          </cell>
          <cell r="M21">
            <v>0</v>
          </cell>
          <cell r="N21">
            <v>0</v>
          </cell>
          <cell r="O21">
            <v>24435.333333333332</v>
          </cell>
          <cell r="P21">
            <v>366530</v>
          </cell>
        </row>
        <row r="22">
          <cell r="F22">
            <v>0</v>
          </cell>
          <cell r="H22">
            <v>0</v>
          </cell>
          <cell r="J22">
            <v>0</v>
          </cell>
          <cell r="K22">
            <v>0</v>
          </cell>
          <cell r="L22">
            <v>0</v>
          </cell>
          <cell r="M22">
            <v>0</v>
          </cell>
          <cell r="N22">
            <v>0</v>
          </cell>
          <cell r="O22">
            <v>0</v>
          </cell>
          <cell r="P22">
            <v>0</v>
          </cell>
        </row>
        <row r="23">
          <cell r="A23" t="str">
            <v xml:space="preserve">  G.</v>
          </cell>
          <cell r="B23" t="str">
            <v xml:space="preserve"> CCTV SYSTEM</v>
          </cell>
          <cell r="C23">
            <v>6</v>
          </cell>
          <cell r="D23" t="str">
            <v>SET</v>
          </cell>
          <cell r="E23">
            <v>291143.16666666669</v>
          </cell>
          <cell r="F23">
            <v>1746859</v>
          </cell>
          <cell r="H23">
            <v>0</v>
          </cell>
          <cell r="I23">
            <v>221</v>
          </cell>
          <cell r="J23">
            <v>1326</v>
          </cell>
          <cell r="K23">
            <v>291143.16666666669</v>
          </cell>
          <cell r="L23">
            <v>1746859</v>
          </cell>
          <cell r="M23">
            <v>0</v>
          </cell>
          <cell r="N23">
            <v>0</v>
          </cell>
          <cell r="O23">
            <v>61933.5</v>
          </cell>
          <cell r="P23">
            <v>371601</v>
          </cell>
        </row>
        <row r="24">
          <cell r="F24">
            <v>0</v>
          </cell>
          <cell r="H24">
            <v>0</v>
          </cell>
          <cell r="J24">
            <v>0</v>
          </cell>
          <cell r="K24">
            <v>0</v>
          </cell>
          <cell r="L24">
            <v>0</v>
          </cell>
          <cell r="M24">
            <v>0</v>
          </cell>
          <cell r="N24">
            <v>0</v>
          </cell>
          <cell r="O24">
            <v>0</v>
          </cell>
          <cell r="P24">
            <v>0</v>
          </cell>
        </row>
        <row r="25">
          <cell r="A25" t="str">
            <v xml:space="preserve">  H.</v>
          </cell>
          <cell r="B25" t="str">
            <v xml:space="preserve"> CATHODIC PROTECTION SYSTEM</v>
          </cell>
          <cell r="C25">
            <v>60</v>
          </cell>
          <cell r="D25" t="str">
            <v>PC</v>
          </cell>
          <cell r="E25">
            <v>12445.316666666668</v>
          </cell>
          <cell r="F25">
            <v>746719</v>
          </cell>
          <cell r="H25">
            <v>0</v>
          </cell>
          <cell r="I25">
            <v>17.083333333333332</v>
          </cell>
          <cell r="J25">
            <v>1025</v>
          </cell>
          <cell r="K25">
            <v>12445.316666666668</v>
          </cell>
          <cell r="L25">
            <v>746719</v>
          </cell>
          <cell r="M25">
            <v>0</v>
          </cell>
          <cell r="N25">
            <v>0</v>
          </cell>
          <cell r="O25">
            <v>6387.1</v>
          </cell>
          <cell r="P25">
            <v>383226</v>
          </cell>
        </row>
        <row r="27">
          <cell r="A27" t="str">
            <v xml:space="preserve">  I.</v>
          </cell>
          <cell r="B27" t="str">
            <v>APS SYSTEM</v>
          </cell>
          <cell r="C27">
            <v>60</v>
          </cell>
          <cell r="D27" t="str">
            <v>SET</v>
          </cell>
          <cell r="E27">
            <v>260365.88333333333</v>
          </cell>
          <cell r="F27">
            <v>15621953</v>
          </cell>
          <cell r="H27">
            <v>0</v>
          </cell>
          <cell r="I27">
            <v>227.13333333333333</v>
          </cell>
          <cell r="J27">
            <v>13628</v>
          </cell>
          <cell r="K27">
            <v>260365.88333333333</v>
          </cell>
          <cell r="L27">
            <v>15621953</v>
          </cell>
          <cell r="M27">
            <v>0</v>
          </cell>
          <cell r="N27">
            <v>0</v>
          </cell>
          <cell r="O27">
            <v>63605.433333333334</v>
          </cell>
          <cell r="P27">
            <v>3816326</v>
          </cell>
        </row>
        <row r="29">
          <cell r="A29" t="str">
            <v xml:space="preserve">  J.</v>
          </cell>
          <cell r="B29" t="str">
            <v>U/G CONDUIT BANK</v>
          </cell>
          <cell r="C29">
            <v>2850</v>
          </cell>
          <cell r="D29" t="str">
            <v>M3</v>
          </cell>
          <cell r="E29">
            <v>2070.4561403508774</v>
          </cell>
          <cell r="F29">
            <v>5900800</v>
          </cell>
          <cell r="H29">
            <v>0</v>
          </cell>
          <cell r="I29">
            <v>9.5898245614035087</v>
          </cell>
          <cell r="J29">
            <v>27331</v>
          </cell>
          <cell r="K29">
            <v>2070.4561403508774</v>
          </cell>
          <cell r="L29">
            <v>5900800</v>
          </cell>
          <cell r="M29">
            <v>0</v>
          </cell>
          <cell r="N29">
            <v>0</v>
          </cell>
          <cell r="O29">
            <v>7703.0175438596489</v>
          </cell>
          <cell r="P29">
            <v>21953600</v>
          </cell>
        </row>
        <row r="32">
          <cell r="B32" t="str">
            <v>TOTAL (ALT-1)</v>
          </cell>
          <cell r="F32">
            <v>197890079</v>
          </cell>
          <cell r="H32">
            <v>0</v>
          </cell>
          <cell r="J32">
            <v>109667</v>
          </cell>
          <cell r="L32">
            <v>197890079</v>
          </cell>
          <cell r="N32">
            <v>0</v>
          </cell>
          <cell r="P32">
            <v>48005061</v>
          </cell>
          <cell r="Q32">
            <v>109667</v>
          </cell>
        </row>
        <row r="33">
          <cell r="Q33">
            <v>0</v>
          </cell>
        </row>
        <row r="34">
          <cell r="A34" t="str">
            <v>OTHER</v>
          </cell>
          <cell r="B34" t="str">
            <v xml:space="preserve"> CATHODIC PROTECTION SYSTEM  FOR TRUNK LINE</v>
          </cell>
          <cell r="C34">
            <v>1</v>
          </cell>
          <cell r="D34" t="str">
            <v>LOT</v>
          </cell>
          <cell r="F34">
            <v>4357694</v>
          </cell>
          <cell r="J34">
            <v>6089</v>
          </cell>
          <cell r="L34">
            <v>4357694</v>
          </cell>
          <cell r="P34">
            <v>2372268</v>
          </cell>
          <cell r="Q34">
            <v>6089</v>
          </cell>
        </row>
        <row r="36">
          <cell r="B36" t="str">
            <v xml:space="preserve">MATERIAL PRICE 造價分析 </v>
          </cell>
        </row>
        <row r="37">
          <cell r="B37" t="str">
            <v xml:space="preserve">CAPACITOR </v>
          </cell>
          <cell r="D37" t="str">
            <v>KVA</v>
          </cell>
        </row>
        <row r="38">
          <cell r="B38" t="str">
            <v>CABLE &amp; WIRE FOR POWER SYSTEM</v>
          </cell>
          <cell r="C38">
            <v>130730</v>
          </cell>
          <cell r="D38" t="str">
            <v>M</v>
          </cell>
        </row>
        <row r="39">
          <cell r="B39" t="str">
            <v>LIGHTING FIXTURE</v>
          </cell>
          <cell r="C39">
            <v>508</v>
          </cell>
          <cell r="D39" t="str">
            <v>SET</v>
          </cell>
        </row>
        <row r="41">
          <cell r="B41" t="str">
            <v>LABOR PRICE 造價分析</v>
          </cell>
        </row>
        <row r="42">
          <cell r="B42" t="str">
            <v xml:space="preserve">CAPACITOR </v>
          </cell>
          <cell r="C42">
            <v>0</v>
          </cell>
          <cell r="D42" t="str">
            <v>KVA</v>
          </cell>
        </row>
        <row r="43">
          <cell r="B43" t="str">
            <v>CABLE &amp; WIRE FOR POWER SYSTEM</v>
          </cell>
          <cell r="C43">
            <v>130730</v>
          </cell>
          <cell r="D43" t="str">
            <v>M</v>
          </cell>
          <cell r="I43">
            <v>0.73359596114128356</v>
          </cell>
          <cell r="J43">
            <v>95903</v>
          </cell>
        </row>
        <row r="44">
          <cell r="B44" t="str">
            <v>LIGHTING FIXTURE</v>
          </cell>
          <cell r="C44">
            <v>508</v>
          </cell>
          <cell r="D44" t="str">
            <v>SET</v>
          </cell>
        </row>
        <row r="46">
          <cell r="A46" t="str">
            <v>ALT-2</v>
          </cell>
          <cell r="C46" t="str">
            <v xml:space="preserve"> </v>
          </cell>
          <cell r="D46" t="str">
            <v xml:space="preserve"> </v>
          </cell>
          <cell r="F46">
            <v>0</v>
          </cell>
          <cell r="H46">
            <v>0</v>
          </cell>
          <cell r="J46">
            <v>0</v>
          </cell>
          <cell r="K46">
            <v>0</v>
          </cell>
          <cell r="L46">
            <v>0</v>
          </cell>
          <cell r="M46">
            <v>0</v>
          </cell>
          <cell r="N46">
            <v>0</v>
          </cell>
          <cell r="O46">
            <v>0</v>
          </cell>
          <cell r="P46">
            <v>0</v>
          </cell>
        </row>
        <row r="47">
          <cell r="A47">
            <v>1</v>
          </cell>
          <cell r="B47" t="str">
            <v xml:space="preserve">  6.9KV GCS ,  NEMA CLASS E2 , MCC PANEL</v>
          </cell>
          <cell r="C47">
            <v>-1</v>
          </cell>
          <cell r="D47" t="str">
            <v>PNL</v>
          </cell>
          <cell r="E47">
            <v>500000</v>
          </cell>
          <cell r="F47">
            <v>-500000</v>
          </cell>
          <cell r="H47">
            <v>0</v>
          </cell>
          <cell r="I47">
            <v>20</v>
          </cell>
          <cell r="J47">
            <v>-20</v>
          </cell>
          <cell r="K47">
            <v>500000</v>
          </cell>
          <cell r="L47">
            <v>-500000</v>
          </cell>
          <cell r="M47">
            <v>0</v>
          </cell>
          <cell r="N47">
            <v>0</v>
          </cell>
          <cell r="O47">
            <v>5600</v>
          </cell>
          <cell r="P47">
            <v>-5600</v>
          </cell>
          <cell r="Q47">
            <v>0</v>
          </cell>
        </row>
        <row r="48">
          <cell r="A48">
            <v>2</v>
          </cell>
          <cell r="B48" t="str">
            <v xml:space="preserve">  600V POWER CABLE 3/C 5.5 sq.mm  XLPE/PVC</v>
          </cell>
          <cell r="C48">
            <v>-195</v>
          </cell>
          <cell r="D48" t="str">
            <v>M</v>
          </cell>
          <cell r="E48">
            <v>20</v>
          </cell>
          <cell r="F48">
            <v>-3900</v>
          </cell>
          <cell r="H48">
            <v>0</v>
          </cell>
          <cell r="I48">
            <v>0.1</v>
          </cell>
          <cell r="J48">
            <v>-20</v>
          </cell>
          <cell r="K48">
            <v>20</v>
          </cell>
          <cell r="L48">
            <v>-3900</v>
          </cell>
          <cell r="M48">
            <v>0</v>
          </cell>
          <cell r="N48">
            <v>0</v>
          </cell>
          <cell r="O48">
            <v>28</v>
          </cell>
          <cell r="P48">
            <v>-5460</v>
          </cell>
          <cell r="Q48">
            <v>0</v>
          </cell>
        </row>
        <row r="49">
          <cell r="A49">
            <v>3</v>
          </cell>
          <cell r="B49" t="str">
            <v xml:space="preserve">  600V CONTROL CABLE 12/C 2.0 sq.mm  PVC/PVC</v>
          </cell>
          <cell r="C49">
            <v>-195</v>
          </cell>
          <cell r="D49" t="str">
            <v>M</v>
          </cell>
          <cell r="E49">
            <v>38</v>
          </cell>
          <cell r="F49">
            <v>-7410</v>
          </cell>
          <cell r="H49">
            <v>0</v>
          </cell>
          <cell r="I49">
            <v>0.13800000000000001</v>
          </cell>
          <cell r="J49">
            <v>-27</v>
          </cell>
          <cell r="K49">
            <v>38</v>
          </cell>
          <cell r="L49">
            <v>-7410</v>
          </cell>
          <cell r="M49">
            <v>0</v>
          </cell>
          <cell r="N49">
            <v>0</v>
          </cell>
          <cell r="O49">
            <v>39</v>
          </cell>
          <cell r="P49">
            <v>-7605</v>
          </cell>
          <cell r="Q49">
            <v>0</v>
          </cell>
        </row>
        <row r="50">
          <cell r="A50">
            <v>4</v>
          </cell>
          <cell r="B50" t="str">
            <v xml:space="preserve">  8KV POWER CABLE 3/C  38 sq.mm  XLPE/PVC</v>
          </cell>
          <cell r="C50">
            <v>-580</v>
          </cell>
          <cell r="D50" t="str">
            <v>M</v>
          </cell>
          <cell r="E50">
            <v>268</v>
          </cell>
          <cell r="F50">
            <v>-155440</v>
          </cell>
          <cell r="H50">
            <v>0</v>
          </cell>
          <cell r="I50">
            <v>0.32100000000000001</v>
          </cell>
          <cell r="J50">
            <v>-186</v>
          </cell>
          <cell r="K50">
            <v>268</v>
          </cell>
          <cell r="L50">
            <v>-155440</v>
          </cell>
          <cell r="M50">
            <v>0</v>
          </cell>
          <cell r="N50">
            <v>0</v>
          </cell>
          <cell r="O50">
            <v>90</v>
          </cell>
          <cell r="P50">
            <v>-52200</v>
          </cell>
          <cell r="Q50">
            <v>0</v>
          </cell>
        </row>
        <row r="51">
          <cell r="A51">
            <v>5</v>
          </cell>
          <cell r="B51" t="str">
            <v xml:space="preserve">  8KV POWER CABLE 3/C  60 sq.mm  XLPE/PVC</v>
          </cell>
          <cell r="C51">
            <v>390</v>
          </cell>
          <cell r="D51" t="str">
            <v>M</v>
          </cell>
          <cell r="E51">
            <v>367</v>
          </cell>
          <cell r="F51">
            <v>143130</v>
          </cell>
          <cell r="H51">
            <v>0</v>
          </cell>
          <cell r="I51">
            <v>0.38800000000000001</v>
          </cell>
          <cell r="J51">
            <v>151</v>
          </cell>
          <cell r="K51">
            <v>367</v>
          </cell>
          <cell r="L51">
            <v>143130</v>
          </cell>
          <cell r="M51">
            <v>0</v>
          </cell>
          <cell r="N51">
            <v>0</v>
          </cell>
          <cell r="O51">
            <v>109</v>
          </cell>
          <cell r="P51">
            <v>42510</v>
          </cell>
          <cell r="Q51">
            <v>0</v>
          </cell>
        </row>
        <row r="52">
          <cell r="A52">
            <v>6</v>
          </cell>
          <cell r="B52" t="str">
            <v xml:space="preserve"> PVC CONDUIT, THICK WALL, CNS1302 SCH. B , 2"</v>
          </cell>
          <cell r="C52">
            <v>-390</v>
          </cell>
          <cell r="D52" t="str">
            <v>M</v>
          </cell>
          <cell r="E52">
            <v>38</v>
          </cell>
          <cell r="F52">
            <v>-14820</v>
          </cell>
          <cell r="H52">
            <v>0</v>
          </cell>
          <cell r="I52">
            <v>0.3</v>
          </cell>
          <cell r="J52">
            <v>-117</v>
          </cell>
          <cell r="K52">
            <v>38</v>
          </cell>
          <cell r="L52">
            <v>-14820</v>
          </cell>
          <cell r="M52">
            <v>0</v>
          </cell>
          <cell r="N52">
            <v>0</v>
          </cell>
          <cell r="O52">
            <v>84</v>
          </cell>
          <cell r="P52">
            <v>-32760</v>
          </cell>
          <cell r="Q52">
            <v>0</v>
          </cell>
        </row>
        <row r="53">
          <cell r="A53">
            <v>7</v>
          </cell>
          <cell r="B53" t="str">
            <v xml:space="preserve"> MISCELLANEOUS </v>
          </cell>
          <cell r="C53">
            <v>1</v>
          </cell>
          <cell r="D53" t="str">
            <v>LOT</v>
          </cell>
          <cell r="E53">
            <v>-708.6</v>
          </cell>
          <cell r="F53">
            <v>-709</v>
          </cell>
          <cell r="I53">
            <v>-2.46</v>
          </cell>
          <cell r="J53">
            <v>-2</v>
          </cell>
          <cell r="K53">
            <v>-709</v>
          </cell>
          <cell r="L53">
            <v>-709</v>
          </cell>
          <cell r="M53">
            <v>0</v>
          </cell>
          <cell r="N53">
            <v>0</v>
          </cell>
          <cell r="O53">
            <v>-689</v>
          </cell>
          <cell r="P53">
            <v>-689</v>
          </cell>
        </row>
        <row r="54">
          <cell r="B54" t="str">
            <v>SUB-TOTAL : (ALT-1)</v>
          </cell>
          <cell r="F54">
            <v>-539149</v>
          </cell>
          <cell r="H54">
            <v>0</v>
          </cell>
          <cell r="J54">
            <v>-221</v>
          </cell>
          <cell r="K54">
            <v>0</v>
          </cell>
          <cell r="L54">
            <v>-539149</v>
          </cell>
          <cell r="M54">
            <v>0</v>
          </cell>
          <cell r="N54">
            <v>0</v>
          </cell>
          <cell r="O54">
            <v>0</v>
          </cell>
          <cell r="P54">
            <v>-61804</v>
          </cell>
          <cell r="Q54">
            <v>-221</v>
          </cell>
        </row>
        <row r="56">
          <cell r="A56" t="str">
            <v>ALT-3</v>
          </cell>
        </row>
        <row r="57">
          <cell r="A57">
            <v>1</v>
          </cell>
          <cell r="B57" t="str">
            <v xml:space="preserve"> AUTO-TRANSFORMER FOR 6.9KV 8500KW MOTOR STARTER , </v>
          </cell>
          <cell r="C57">
            <v>1</v>
          </cell>
          <cell r="D57" t="str">
            <v>SET</v>
          </cell>
          <cell r="E57">
            <v>484000</v>
          </cell>
          <cell r="F57">
            <v>484000</v>
          </cell>
          <cell r="H57">
            <v>0</v>
          </cell>
          <cell r="I57">
            <v>20</v>
          </cell>
          <cell r="J57">
            <v>20</v>
          </cell>
          <cell r="K57">
            <v>484000</v>
          </cell>
          <cell r="L57">
            <v>484000</v>
          </cell>
          <cell r="M57">
            <v>0</v>
          </cell>
          <cell r="N57">
            <v>0</v>
          </cell>
          <cell r="O57">
            <v>5600</v>
          </cell>
          <cell r="P57">
            <v>5600</v>
          </cell>
        </row>
        <row r="58">
          <cell r="B58" t="str">
            <v xml:space="preserve"> TAP 80% , STARTING TIME 60 Sec. (MOTOR PF=0.7 , EFF=0.9)</v>
          </cell>
          <cell r="F58">
            <v>0</v>
          </cell>
          <cell r="H58">
            <v>0</v>
          </cell>
          <cell r="J58">
            <v>0</v>
          </cell>
          <cell r="K58">
            <v>0</v>
          </cell>
          <cell r="L58">
            <v>0</v>
          </cell>
          <cell r="M58">
            <v>0</v>
          </cell>
          <cell r="N58">
            <v>0</v>
          </cell>
          <cell r="O58">
            <v>0</v>
          </cell>
          <cell r="P58">
            <v>0</v>
          </cell>
        </row>
        <row r="59">
          <cell r="A59">
            <v>2</v>
          </cell>
          <cell r="B59" t="str">
            <v xml:space="preserve">  6.9KV VCB 1250A 40KA</v>
          </cell>
          <cell r="C59">
            <v>3</v>
          </cell>
          <cell r="D59" t="str">
            <v>PNL</v>
          </cell>
          <cell r="E59">
            <v>800000</v>
          </cell>
          <cell r="F59">
            <v>2400000</v>
          </cell>
          <cell r="H59">
            <v>0</v>
          </cell>
          <cell r="I59">
            <v>20</v>
          </cell>
          <cell r="J59">
            <v>60</v>
          </cell>
          <cell r="K59">
            <v>800000</v>
          </cell>
          <cell r="L59">
            <v>2400000</v>
          </cell>
          <cell r="M59">
            <v>0</v>
          </cell>
          <cell r="N59">
            <v>0</v>
          </cell>
          <cell r="O59">
            <v>5600</v>
          </cell>
          <cell r="P59">
            <v>16800</v>
          </cell>
          <cell r="Q59">
            <v>0</v>
          </cell>
        </row>
        <row r="60">
          <cell r="A60">
            <v>3</v>
          </cell>
          <cell r="B60" t="str">
            <v xml:space="preserve">  6.9KV 2000KVA , W/GCS , CAPACIATOR PANEL</v>
          </cell>
          <cell r="C60">
            <v>2</v>
          </cell>
          <cell r="D60" t="str">
            <v>PNL</v>
          </cell>
          <cell r="E60">
            <v>1500000</v>
          </cell>
          <cell r="F60">
            <v>3000000</v>
          </cell>
          <cell r="H60">
            <v>0</v>
          </cell>
          <cell r="I60">
            <v>30</v>
          </cell>
          <cell r="J60">
            <v>60</v>
          </cell>
          <cell r="K60">
            <v>1500000</v>
          </cell>
          <cell r="L60">
            <v>3000000</v>
          </cell>
          <cell r="M60">
            <v>0</v>
          </cell>
          <cell r="N60">
            <v>0</v>
          </cell>
          <cell r="O60">
            <v>8400</v>
          </cell>
          <cell r="P60">
            <v>16800</v>
          </cell>
        </row>
        <row r="61">
          <cell r="A61">
            <v>4</v>
          </cell>
          <cell r="B61" t="str">
            <v xml:space="preserve">  600V POWER CABLE 3/C 5.5 sq.mm  XLPE/PVC</v>
          </cell>
          <cell r="C61">
            <v>200</v>
          </cell>
          <cell r="D61" t="str">
            <v>M</v>
          </cell>
          <cell r="E61">
            <v>20</v>
          </cell>
          <cell r="F61">
            <v>4000</v>
          </cell>
          <cell r="H61">
            <v>0</v>
          </cell>
          <cell r="I61">
            <v>0.1</v>
          </cell>
          <cell r="J61">
            <v>20</v>
          </cell>
          <cell r="K61">
            <v>20</v>
          </cell>
          <cell r="L61">
            <v>4000</v>
          </cell>
          <cell r="M61">
            <v>0</v>
          </cell>
          <cell r="N61">
            <v>0</v>
          </cell>
          <cell r="O61">
            <v>28</v>
          </cell>
          <cell r="P61">
            <v>5600</v>
          </cell>
          <cell r="Q61">
            <v>0</v>
          </cell>
        </row>
        <row r="62">
          <cell r="A62">
            <v>5</v>
          </cell>
          <cell r="B62" t="str">
            <v xml:space="preserve">  600V POWER CABLE 3/C 22sq.mm  XLPE/PVC</v>
          </cell>
          <cell r="C62">
            <v>600</v>
          </cell>
          <cell r="D62" t="str">
            <v>M</v>
          </cell>
          <cell r="E62">
            <v>70</v>
          </cell>
          <cell r="F62">
            <v>42000</v>
          </cell>
          <cell r="H62">
            <v>0</v>
          </cell>
          <cell r="I62">
            <v>0.18099999999999999</v>
          </cell>
          <cell r="J62">
            <v>109</v>
          </cell>
          <cell r="K62">
            <v>70</v>
          </cell>
          <cell r="L62">
            <v>42000</v>
          </cell>
          <cell r="M62">
            <v>0</v>
          </cell>
          <cell r="N62">
            <v>0</v>
          </cell>
          <cell r="O62">
            <v>51</v>
          </cell>
          <cell r="P62">
            <v>30600</v>
          </cell>
          <cell r="Q62">
            <v>0</v>
          </cell>
        </row>
        <row r="63">
          <cell r="A63">
            <v>6</v>
          </cell>
          <cell r="B63" t="str">
            <v xml:space="preserve">  600V CONTROL CABLE 7/C 2.1 sq.mm  PVC/PVC</v>
          </cell>
          <cell r="C63">
            <v>600</v>
          </cell>
          <cell r="D63" t="str">
            <v>M</v>
          </cell>
          <cell r="E63">
            <v>24</v>
          </cell>
          <cell r="F63">
            <v>14400</v>
          </cell>
          <cell r="H63">
            <v>0</v>
          </cell>
          <cell r="I63">
            <v>0.105</v>
          </cell>
          <cell r="J63">
            <v>63</v>
          </cell>
          <cell r="K63">
            <v>24</v>
          </cell>
          <cell r="L63">
            <v>14400</v>
          </cell>
          <cell r="M63">
            <v>0</v>
          </cell>
          <cell r="N63">
            <v>0</v>
          </cell>
          <cell r="O63">
            <v>29</v>
          </cell>
          <cell r="P63">
            <v>17400</v>
          </cell>
          <cell r="Q63">
            <v>0</v>
          </cell>
        </row>
        <row r="64">
          <cell r="A64">
            <v>7</v>
          </cell>
          <cell r="B64" t="str">
            <v xml:space="preserve">  600V CONTROL CABLE 12/C 2.0 sq.mm  PVC/PVC</v>
          </cell>
          <cell r="C64">
            <v>200</v>
          </cell>
          <cell r="D64" t="str">
            <v>M</v>
          </cell>
          <cell r="E64">
            <v>38</v>
          </cell>
          <cell r="F64">
            <v>7600</v>
          </cell>
          <cell r="H64">
            <v>0</v>
          </cell>
          <cell r="I64">
            <v>0.13800000000000001</v>
          </cell>
          <cell r="J64">
            <v>28</v>
          </cell>
          <cell r="K64">
            <v>38</v>
          </cell>
          <cell r="L64">
            <v>7600</v>
          </cell>
          <cell r="M64">
            <v>0</v>
          </cell>
          <cell r="N64">
            <v>0</v>
          </cell>
          <cell r="O64">
            <v>39</v>
          </cell>
          <cell r="P64">
            <v>7800</v>
          </cell>
          <cell r="Q64">
            <v>0</v>
          </cell>
        </row>
        <row r="65">
          <cell r="A65">
            <v>8</v>
          </cell>
          <cell r="B65" t="str">
            <v xml:space="preserve">  8KV POWER CABLE 1/C 325 sq.mm XLPE/PVC</v>
          </cell>
          <cell r="C65">
            <v>2500</v>
          </cell>
          <cell r="D65" t="str">
            <v>M</v>
          </cell>
          <cell r="E65">
            <v>375</v>
          </cell>
          <cell r="F65">
            <v>937500</v>
          </cell>
          <cell r="H65">
            <v>0</v>
          </cell>
          <cell r="I65">
            <v>0.30199999999999999</v>
          </cell>
          <cell r="J65">
            <v>755</v>
          </cell>
          <cell r="K65">
            <v>375</v>
          </cell>
          <cell r="L65">
            <v>937500</v>
          </cell>
          <cell r="M65">
            <v>0</v>
          </cell>
          <cell r="N65">
            <v>0</v>
          </cell>
          <cell r="O65">
            <v>85</v>
          </cell>
          <cell r="P65">
            <v>212500</v>
          </cell>
        </row>
        <row r="66">
          <cell r="A66">
            <v>9</v>
          </cell>
          <cell r="B66" t="str">
            <v xml:space="preserve">  8KV TERMINATION KIT , 1/C 325 sq.mm </v>
          </cell>
          <cell r="C66">
            <v>24</v>
          </cell>
          <cell r="D66" t="str">
            <v>SET</v>
          </cell>
          <cell r="E66">
            <v>2542</v>
          </cell>
          <cell r="F66">
            <v>61008</v>
          </cell>
          <cell r="H66">
            <v>0</v>
          </cell>
          <cell r="I66">
            <v>5</v>
          </cell>
          <cell r="J66">
            <v>120</v>
          </cell>
          <cell r="K66">
            <v>2542</v>
          </cell>
          <cell r="L66">
            <v>61008</v>
          </cell>
          <cell r="M66">
            <v>0</v>
          </cell>
          <cell r="N66">
            <v>0</v>
          </cell>
          <cell r="O66">
            <v>1400</v>
          </cell>
          <cell r="P66">
            <v>33600</v>
          </cell>
        </row>
        <row r="67">
          <cell r="A67">
            <v>10</v>
          </cell>
          <cell r="B67" t="str">
            <v xml:space="preserve"> PVC CONDUIT, THICK WALL, CNS1302 SCH. B , 2"</v>
          </cell>
          <cell r="C67">
            <v>800</v>
          </cell>
          <cell r="D67" t="str">
            <v>M</v>
          </cell>
          <cell r="E67">
            <v>38</v>
          </cell>
          <cell r="F67">
            <v>30400</v>
          </cell>
          <cell r="H67">
            <v>0</v>
          </cell>
          <cell r="I67">
            <v>0.3</v>
          </cell>
          <cell r="J67">
            <v>240</v>
          </cell>
          <cell r="K67">
            <v>38</v>
          </cell>
          <cell r="L67">
            <v>30400</v>
          </cell>
          <cell r="M67">
            <v>0</v>
          </cell>
          <cell r="N67">
            <v>0</v>
          </cell>
          <cell r="O67">
            <v>84</v>
          </cell>
          <cell r="P67">
            <v>67200</v>
          </cell>
          <cell r="Q67">
            <v>0</v>
          </cell>
        </row>
        <row r="68">
          <cell r="A68">
            <v>11</v>
          </cell>
          <cell r="B68" t="str">
            <v xml:space="preserve"> PVC CONDUIT, THICK WALL, CNS1302 SCH. B , 6"</v>
          </cell>
          <cell r="C68">
            <v>800</v>
          </cell>
          <cell r="D68" t="str">
            <v>M</v>
          </cell>
          <cell r="E68">
            <v>242</v>
          </cell>
          <cell r="F68">
            <v>193600</v>
          </cell>
          <cell r="H68">
            <v>0</v>
          </cell>
          <cell r="I68">
            <v>0.68</v>
          </cell>
          <cell r="J68">
            <v>544</v>
          </cell>
          <cell r="K68">
            <v>242</v>
          </cell>
          <cell r="L68">
            <v>193600</v>
          </cell>
          <cell r="M68">
            <v>0</v>
          </cell>
          <cell r="N68">
            <v>0</v>
          </cell>
          <cell r="O68">
            <v>190</v>
          </cell>
          <cell r="P68">
            <v>152000</v>
          </cell>
          <cell r="Q68">
            <v>0</v>
          </cell>
        </row>
        <row r="69">
          <cell r="A69">
            <v>12</v>
          </cell>
          <cell r="B69" t="str">
            <v xml:space="preserve"> EXCAVATION</v>
          </cell>
          <cell r="C69">
            <v>350</v>
          </cell>
          <cell r="D69" t="str">
            <v>M3</v>
          </cell>
          <cell r="E69" t="str">
            <v>M+L</v>
          </cell>
          <cell r="F69" t="str">
            <v>M+L</v>
          </cell>
          <cell r="G69">
            <v>0</v>
          </cell>
          <cell r="H69">
            <v>0</v>
          </cell>
          <cell r="I69">
            <v>0</v>
          </cell>
          <cell r="J69">
            <v>0</v>
          </cell>
          <cell r="K69" t="str">
            <v>M+L</v>
          </cell>
          <cell r="L69" t="str">
            <v>M+L</v>
          </cell>
          <cell r="M69">
            <v>0</v>
          </cell>
          <cell r="N69">
            <v>0</v>
          </cell>
          <cell r="O69">
            <v>60</v>
          </cell>
          <cell r="P69">
            <v>21000</v>
          </cell>
          <cell r="Q69">
            <v>0</v>
          </cell>
        </row>
        <row r="70">
          <cell r="A70">
            <v>13</v>
          </cell>
          <cell r="B70" t="str">
            <v xml:space="preserve"> BACKFILL</v>
          </cell>
          <cell r="C70">
            <v>250</v>
          </cell>
          <cell r="D70" t="str">
            <v>M3</v>
          </cell>
          <cell r="E70" t="str">
            <v>M+L</v>
          </cell>
          <cell r="F70" t="str">
            <v>M+L</v>
          </cell>
          <cell r="G70">
            <v>0</v>
          </cell>
          <cell r="H70">
            <v>0</v>
          </cell>
          <cell r="I70">
            <v>0</v>
          </cell>
          <cell r="J70">
            <v>0</v>
          </cell>
          <cell r="K70" t="str">
            <v>M+L</v>
          </cell>
          <cell r="L70" t="str">
            <v>M+L</v>
          </cell>
          <cell r="M70">
            <v>0</v>
          </cell>
          <cell r="N70">
            <v>0</v>
          </cell>
          <cell r="O70">
            <v>100</v>
          </cell>
          <cell r="P70">
            <v>25000</v>
          </cell>
          <cell r="Q70">
            <v>0</v>
          </cell>
        </row>
        <row r="71">
          <cell r="A71">
            <v>14</v>
          </cell>
          <cell r="B71" t="str">
            <v xml:space="preserve"> CONCRETE FOR DUCT BANK 2000 PSI</v>
          </cell>
          <cell r="C71">
            <v>100</v>
          </cell>
          <cell r="D71" t="str">
            <v>M3</v>
          </cell>
          <cell r="E71" t="str">
            <v>M+L</v>
          </cell>
          <cell r="F71" t="str">
            <v>M+L</v>
          </cell>
          <cell r="G71">
            <v>0</v>
          </cell>
          <cell r="H71">
            <v>0</v>
          </cell>
          <cell r="I71">
            <v>0</v>
          </cell>
          <cell r="J71">
            <v>0</v>
          </cell>
          <cell r="K71" t="str">
            <v>M+L</v>
          </cell>
          <cell r="L71" t="str">
            <v>M+L</v>
          </cell>
          <cell r="M71">
            <v>0</v>
          </cell>
          <cell r="N71">
            <v>0</v>
          </cell>
          <cell r="O71">
            <v>1700</v>
          </cell>
          <cell r="P71">
            <v>170000</v>
          </cell>
          <cell r="Q71">
            <v>0</v>
          </cell>
        </row>
        <row r="72">
          <cell r="A72">
            <v>15</v>
          </cell>
          <cell r="B72" t="str">
            <v xml:space="preserve"> RED COLORED OXIDE</v>
          </cell>
          <cell r="C72">
            <v>900</v>
          </cell>
          <cell r="D72" t="str">
            <v>KG</v>
          </cell>
          <cell r="E72" t="str">
            <v>M+L</v>
          </cell>
          <cell r="F72" t="str">
            <v>M+L</v>
          </cell>
          <cell r="G72">
            <v>0</v>
          </cell>
          <cell r="H72">
            <v>0</v>
          </cell>
          <cell r="I72">
            <v>0</v>
          </cell>
          <cell r="J72">
            <v>0</v>
          </cell>
          <cell r="K72" t="str">
            <v>M+L</v>
          </cell>
          <cell r="L72" t="str">
            <v>M+L</v>
          </cell>
          <cell r="M72">
            <v>0</v>
          </cell>
          <cell r="N72">
            <v>0</v>
          </cell>
          <cell r="O72">
            <v>60</v>
          </cell>
          <cell r="P72">
            <v>54000</v>
          </cell>
          <cell r="Q72">
            <v>0</v>
          </cell>
        </row>
        <row r="73">
          <cell r="A73">
            <v>16</v>
          </cell>
          <cell r="B73" t="str">
            <v xml:space="preserve"> DISPOSAL</v>
          </cell>
          <cell r="C73">
            <v>100</v>
          </cell>
          <cell r="D73" t="str">
            <v>M3</v>
          </cell>
          <cell r="E73" t="str">
            <v>M+L</v>
          </cell>
          <cell r="F73" t="str">
            <v>M+L</v>
          </cell>
          <cell r="G73">
            <v>0</v>
          </cell>
          <cell r="H73">
            <v>0</v>
          </cell>
          <cell r="I73">
            <v>0</v>
          </cell>
          <cell r="J73">
            <v>0</v>
          </cell>
          <cell r="K73" t="str">
            <v>M+L</v>
          </cell>
          <cell r="L73" t="str">
            <v>M+L</v>
          </cell>
          <cell r="M73">
            <v>0</v>
          </cell>
          <cell r="N73">
            <v>0</v>
          </cell>
          <cell r="O73">
            <v>220</v>
          </cell>
          <cell r="P73">
            <v>22000</v>
          </cell>
          <cell r="Q73">
            <v>0</v>
          </cell>
        </row>
        <row r="74">
          <cell r="A74">
            <v>17</v>
          </cell>
          <cell r="B74" t="str">
            <v xml:space="preserve"> FORMWORK</v>
          </cell>
          <cell r="C74">
            <v>300</v>
          </cell>
          <cell r="D74" t="str">
            <v>M2</v>
          </cell>
          <cell r="E74" t="str">
            <v>M+L</v>
          </cell>
          <cell r="F74" t="str">
            <v>M+L</v>
          </cell>
          <cell r="G74">
            <v>0</v>
          </cell>
          <cell r="H74">
            <v>0</v>
          </cell>
          <cell r="I74">
            <v>0</v>
          </cell>
          <cell r="J74">
            <v>0</v>
          </cell>
          <cell r="K74" t="str">
            <v>M+L</v>
          </cell>
          <cell r="L74" t="str">
            <v>M+L</v>
          </cell>
          <cell r="M74">
            <v>0</v>
          </cell>
          <cell r="N74">
            <v>0</v>
          </cell>
          <cell r="O74">
            <v>360</v>
          </cell>
          <cell r="P74">
            <v>108000</v>
          </cell>
          <cell r="Q74">
            <v>0</v>
          </cell>
        </row>
        <row r="75">
          <cell r="A75">
            <v>18</v>
          </cell>
          <cell r="B75" t="str">
            <v xml:space="preserve"> RE-BAR</v>
          </cell>
          <cell r="C75">
            <v>1900</v>
          </cell>
          <cell r="D75" t="str">
            <v>KG</v>
          </cell>
          <cell r="E75" t="str">
            <v>M+L</v>
          </cell>
          <cell r="F75" t="str">
            <v>M+L</v>
          </cell>
          <cell r="G75">
            <v>0</v>
          </cell>
          <cell r="H75">
            <v>0</v>
          </cell>
          <cell r="I75">
            <v>0</v>
          </cell>
          <cell r="J75">
            <v>0</v>
          </cell>
          <cell r="K75" t="str">
            <v>M+L</v>
          </cell>
          <cell r="L75" t="str">
            <v>M+L</v>
          </cell>
          <cell r="M75">
            <v>0</v>
          </cell>
          <cell r="N75">
            <v>0</v>
          </cell>
          <cell r="O75">
            <v>16</v>
          </cell>
          <cell r="P75">
            <v>30400</v>
          </cell>
          <cell r="Q75">
            <v>0</v>
          </cell>
        </row>
        <row r="76">
          <cell r="A76">
            <v>19</v>
          </cell>
          <cell r="B76" t="str">
            <v xml:space="preserve"> COMPOND FOR WATER SEALING(IN MH.)</v>
          </cell>
          <cell r="C76">
            <v>125</v>
          </cell>
          <cell r="D76" t="str">
            <v>KG</v>
          </cell>
          <cell r="E76" t="str">
            <v>M+L</v>
          </cell>
          <cell r="F76" t="str">
            <v>M+L</v>
          </cell>
          <cell r="G76">
            <v>0</v>
          </cell>
          <cell r="H76">
            <v>0</v>
          </cell>
          <cell r="I76">
            <v>0</v>
          </cell>
          <cell r="J76">
            <v>0</v>
          </cell>
          <cell r="K76" t="str">
            <v>M+L</v>
          </cell>
          <cell r="L76" t="str">
            <v>M+L</v>
          </cell>
          <cell r="M76">
            <v>0</v>
          </cell>
          <cell r="N76">
            <v>0</v>
          </cell>
          <cell r="O76">
            <v>200</v>
          </cell>
          <cell r="P76">
            <v>25000</v>
          </cell>
          <cell r="Q76">
            <v>0</v>
          </cell>
        </row>
        <row r="77">
          <cell r="A77">
            <v>20</v>
          </cell>
          <cell r="B77" t="str">
            <v xml:space="preserve"> MISCELLANEOUS </v>
          </cell>
          <cell r="C77">
            <v>1</v>
          </cell>
          <cell r="D77" t="str">
            <v>LOT</v>
          </cell>
          <cell r="E77">
            <v>31995.239999999998</v>
          </cell>
          <cell r="F77">
            <v>31995</v>
          </cell>
          <cell r="I77">
            <v>32.85</v>
          </cell>
          <cell r="J77">
            <v>33</v>
          </cell>
          <cell r="K77">
            <v>31995</v>
          </cell>
          <cell r="L77">
            <v>31995</v>
          </cell>
          <cell r="M77">
            <v>0</v>
          </cell>
          <cell r="N77">
            <v>0</v>
          </cell>
          <cell r="O77">
            <v>9198</v>
          </cell>
          <cell r="P77">
            <v>9198</v>
          </cell>
        </row>
        <row r="78">
          <cell r="B78" t="str">
            <v>SUB-TOTAL : (ALT-2)</v>
          </cell>
          <cell r="F78">
            <v>7206503</v>
          </cell>
          <cell r="H78">
            <v>0</v>
          </cell>
          <cell r="J78">
            <v>2052</v>
          </cell>
          <cell r="K78">
            <v>0</v>
          </cell>
          <cell r="L78">
            <v>7206503</v>
          </cell>
          <cell r="M78">
            <v>0</v>
          </cell>
          <cell r="N78">
            <v>0</v>
          </cell>
          <cell r="O78">
            <v>0</v>
          </cell>
          <cell r="P78">
            <v>1030498</v>
          </cell>
          <cell r="Q78">
            <v>2052</v>
          </cell>
        </row>
        <row r="82">
          <cell r="A82" t="str">
            <v xml:space="preserve">  A.</v>
          </cell>
          <cell r="B82" t="str">
            <v xml:space="preserve"> POWER EQUIPMENT </v>
          </cell>
          <cell r="C82" t="str">
            <v xml:space="preserve"> </v>
          </cell>
          <cell r="D82" t="str">
            <v xml:space="preserve"> </v>
          </cell>
          <cell r="F82">
            <v>0</v>
          </cell>
          <cell r="H82">
            <v>0</v>
          </cell>
          <cell r="J82">
            <v>0</v>
          </cell>
          <cell r="K82">
            <v>0</v>
          </cell>
          <cell r="L82">
            <v>0</v>
          </cell>
          <cell r="M82">
            <v>0</v>
          </cell>
          <cell r="N82">
            <v>0</v>
          </cell>
          <cell r="O82">
            <v>0</v>
          </cell>
          <cell r="P82">
            <v>0</v>
          </cell>
        </row>
        <row r="83">
          <cell r="F83">
            <v>0</v>
          </cell>
          <cell r="H83">
            <v>0</v>
          </cell>
          <cell r="J83">
            <v>0</v>
          </cell>
          <cell r="K83">
            <v>0</v>
          </cell>
          <cell r="L83">
            <v>0</v>
          </cell>
          <cell r="M83">
            <v>0</v>
          </cell>
          <cell r="N83">
            <v>0</v>
          </cell>
          <cell r="O83">
            <v>0</v>
          </cell>
          <cell r="P83">
            <v>0</v>
          </cell>
        </row>
        <row r="84">
          <cell r="A84" t="str">
            <v>*</v>
          </cell>
          <cell r="B84" t="str">
            <v>DWG. NO. XK11A-0000-01</v>
          </cell>
          <cell r="F84">
            <v>0</v>
          </cell>
          <cell r="H84">
            <v>0</v>
          </cell>
          <cell r="J84">
            <v>0</v>
          </cell>
          <cell r="K84">
            <v>0</v>
          </cell>
          <cell r="L84">
            <v>0</v>
          </cell>
          <cell r="M84">
            <v>0</v>
          </cell>
          <cell r="N84">
            <v>0</v>
          </cell>
          <cell r="O84">
            <v>0</v>
          </cell>
          <cell r="P84">
            <v>0</v>
          </cell>
        </row>
        <row r="85">
          <cell r="A85" t="str">
            <v>A.1</v>
          </cell>
          <cell r="B85" t="str">
            <v>161KV SWITCHGEAR AREA</v>
          </cell>
          <cell r="F85">
            <v>0</v>
          </cell>
          <cell r="H85">
            <v>0</v>
          </cell>
          <cell r="J85">
            <v>0</v>
          </cell>
          <cell r="K85">
            <v>0</v>
          </cell>
          <cell r="L85">
            <v>0</v>
          </cell>
          <cell r="M85">
            <v>0</v>
          </cell>
          <cell r="N85">
            <v>0</v>
          </cell>
          <cell r="O85">
            <v>0</v>
          </cell>
          <cell r="P85">
            <v>0</v>
          </cell>
        </row>
        <row r="86">
          <cell r="A86" t="str">
            <v>A.1.1</v>
          </cell>
          <cell r="B86" t="str">
            <v xml:space="preserve">  161KV SF6 GIS ,1250A 50KA , 2 BAYS ,W/ GCB, DS, ES, MOF, LA, CT…..</v>
          </cell>
          <cell r="C86">
            <v>1</v>
          </cell>
          <cell r="D86" t="str">
            <v>SET</v>
          </cell>
          <cell r="E86">
            <v>50540000</v>
          </cell>
          <cell r="F86">
            <v>50540000</v>
          </cell>
          <cell r="H86">
            <v>0</v>
          </cell>
          <cell r="I86">
            <v>4038</v>
          </cell>
          <cell r="J86">
            <v>4038</v>
          </cell>
          <cell r="K86">
            <v>50540000</v>
          </cell>
          <cell r="L86">
            <v>50540000</v>
          </cell>
          <cell r="M86">
            <v>0</v>
          </cell>
          <cell r="N86">
            <v>0</v>
          </cell>
          <cell r="O86">
            <v>1620000</v>
          </cell>
          <cell r="P86">
            <v>1620000</v>
          </cell>
        </row>
        <row r="87">
          <cell r="A87" t="str">
            <v>A.1.2</v>
          </cell>
          <cell r="B87" t="str">
            <v xml:space="preserve">  RELAY &amp; CONTROL PANEL, FOR GIS PANEL ,W/CONTROL CABLE &amp; PILOTWIRE RL</v>
          </cell>
          <cell r="C87">
            <v>1</v>
          </cell>
          <cell r="D87" t="str">
            <v>LOT</v>
          </cell>
          <cell r="E87">
            <v>3412700</v>
          </cell>
          <cell r="F87">
            <v>3412700</v>
          </cell>
          <cell r="H87">
            <v>0</v>
          </cell>
          <cell r="I87">
            <v>500</v>
          </cell>
          <cell r="J87">
            <v>500</v>
          </cell>
          <cell r="K87">
            <v>3412700</v>
          </cell>
          <cell r="L87">
            <v>3412700</v>
          </cell>
          <cell r="M87">
            <v>0</v>
          </cell>
          <cell r="N87">
            <v>0</v>
          </cell>
          <cell r="O87">
            <v>200000</v>
          </cell>
          <cell r="P87">
            <v>200000</v>
          </cell>
        </row>
        <row r="88">
          <cell r="A88" t="str">
            <v>A.1.3</v>
          </cell>
          <cell r="B88" t="str">
            <v xml:space="preserve">  161KV POWER CABLE  , 1/C 250 SQ.MM</v>
          </cell>
          <cell r="C88">
            <v>330</v>
          </cell>
          <cell r="D88" t="str">
            <v>M</v>
          </cell>
          <cell r="E88">
            <v>1680</v>
          </cell>
          <cell r="F88">
            <v>554400</v>
          </cell>
          <cell r="H88">
            <v>0</v>
          </cell>
          <cell r="I88">
            <v>1.1519999999999999</v>
          </cell>
          <cell r="J88">
            <v>380</v>
          </cell>
          <cell r="K88">
            <v>1680</v>
          </cell>
          <cell r="L88">
            <v>554400</v>
          </cell>
          <cell r="M88">
            <v>0</v>
          </cell>
          <cell r="N88">
            <v>0</v>
          </cell>
          <cell r="O88">
            <v>323</v>
          </cell>
          <cell r="P88">
            <v>106590</v>
          </cell>
        </row>
        <row r="89">
          <cell r="A89" t="str">
            <v>A.1.4</v>
          </cell>
          <cell r="B89" t="str">
            <v xml:space="preserve">  161KV TERMINATION KIT, HEAT SHRINKABLE TYPE , 1/C 250 SQ.MM</v>
          </cell>
          <cell r="C89">
            <v>12</v>
          </cell>
          <cell r="D89" t="str">
            <v>SET</v>
          </cell>
          <cell r="E89">
            <v>210000</v>
          </cell>
          <cell r="F89">
            <v>2520000</v>
          </cell>
          <cell r="H89">
            <v>0</v>
          </cell>
          <cell r="I89">
            <v>133</v>
          </cell>
          <cell r="J89">
            <v>1596</v>
          </cell>
          <cell r="K89">
            <v>210000</v>
          </cell>
          <cell r="L89">
            <v>2520000</v>
          </cell>
          <cell r="M89">
            <v>0</v>
          </cell>
          <cell r="N89">
            <v>0</v>
          </cell>
          <cell r="O89">
            <v>53200</v>
          </cell>
          <cell r="P89">
            <v>638400</v>
          </cell>
        </row>
        <row r="90">
          <cell r="A90" t="str">
            <v>A.1.5</v>
          </cell>
          <cell r="B90" t="str">
            <v xml:space="preserve">  MAIN POWER TRANSFORMER W/NGR &amp; LA*3, OIL-IMMERSED , 161KV/6.9KV 30/40MVA</v>
          </cell>
          <cell r="C90">
            <v>2</v>
          </cell>
          <cell r="D90" t="str">
            <v>SET</v>
          </cell>
          <cell r="E90">
            <v>10460000</v>
          </cell>
          <cell r="F90">
            <v>20920000</v>
          </cell>
          <cell r="H90">
            <v>0</v>
          </cell>
          <cell r="I90">
            <v>595</v>
          </cell>
          <cell r="J90">
            <v>1190</v>
          </cell>
          <cell r="K90">
            <v>10460000</v>
          </cell>
          <cell r="L90">
            <v>20920000</v>
          </cell>
          <cell r="M90">
            <v>0</v>
          </cell>
          <cell r="N90">
            <v>0</v>
          </cell>
          <cell r="O90">
            <v>238000</v>
          </cell>
          <cell r="P90">
            <v>476000</v>
          </cell>
        </row>
        <row r="91">
          <cell r="A91" t="str">
            <v>A.1.6</v>
          </cell>
          <cell r="B91" t="str">
            <v xml:space="preserve">  6.9KV BUS DUCT , 4000A INDOOR/OUTDOOR , 8M LG , 40KA</v>
          </cell>
          <cell r="C91">
            <v>2</v>
          </cell>
          <cell r="D91" t="str">
            <v>SET</v>
          </cell>
          <cell r="E91">
            <v>840000</v>
          </cell>
          <cell r="F91">
            <v>1680000</v>
          </cell>
          <cell r="H91">
            <v>0</v>
          </cell>
          <cell r="I91">
            <v>80</v>
          </cell>
          <cell r="J91">
            <v>160</v>
          </cell>
          <cell r="K91">
            <v>840000</v>
          </cell>
          <cell r="L91">
            <v>1680000</v>
          </cell>
          <cell r="M91">
            <v>0</v>
          </cell>
          <cell r="N91">
            <v>0</v>
          </cell>
          <cell r="O91">
            <v>22400</v>
          </cell>
          <cell r="P91">
            <v>44800</v>
          </cell>
        </row>
        <row r="92">
          <cell r="B92" t="str">
            <v>SUB-TOTAL (A.1)</v>
          </cell>
          <cell r="F92">
            <v>79627100</v>
          </cell>
          <cell r="J92">
            <v>7864</v>
          </cell>
          <cell r="L92">
            <v>79627100</v>
          </cell>
          <cell r="P92">
            <v>3085790</v>
          </cell>
        </row>
        <row r="93">
          <cell r="F93">
            <v>0</v>
          </cell>
          <cell r="H93">
            <v>0</v>
          </cell>
          <cell r="J93">
            <v>0</v>
          </cell>
          <cell r="K93">
            <v>0</v>
          </cell>
          <cell r="L93">
            <v>0</v>
          </cell>
          <cell r="M93">
            <v>0</v>
          </cell>
          <cell r="N93">
            <v>0</v>
          </cell>
          <cell r="O93">
            <v>0</v>
          </cell>
          <cell r="P93">
            <v>0</v>
          </cell>
        </row>
        <row r="94">
          <cell r="A94" t="str">
            <v>*</v>
          </cell>
          <cell r="B94" t="str">
            <v>DWG. NO. XK11A-0000-02, 03 , 04</v>
          </cell>
          <cell r="F94">
            <v>0</v>
          </cell>
          <cell r="H94">
            <v>0</v>
          </cell>
          <cell r="J94">
            <v>0</v>
          </cell>
          <cell r="K94">
            <v>0</v>
          </cell>
          <cell r="L94">
            <v>0</v>
          </cell>
          <cell r="M94">
            <v>0</v>
          </cell>
          <cell r="N94">
            <v>0</v>
          </cell>
          <cell r="O94">
            <v>0</v>
          </cell>
          <cell r="P94">
            <v>0</v>
          </cell>
        </row>
        <row r="95">
          <cell r="A95" t="str">
            <v xml:space="preserve">   A.2</v>
          </cell>
          <cell r="B95" t="str">
            <v>MAIN SUBSTATION (公共設施)</v>
          </cell>
          <cell r="H95">
            <v>0</v>
          </cell>
          <cell r="J95">
            <v>0</v>
          </cell>
          <cell r="K95">
            <v>0</v>
          </cell>
          <cell r="L95">
            <v>0</v>
          </cell>
          <cell r="M95">
            <v>0</v>
          </cell>
          <cell r="N95">
            <v>0</v>
          </cell>
          <cell r="O95">
            <v>0</v>
          </cell>
          <cell r="P95">
            <v>0</v>
          </cell>
        </row>
        <row r="96">
          <cell r="A96" t="str">
            <v>A.2.1</v>
          </cell>
          <cell r="B96" t="str">
            <v xml:space="preserve">  6.9KV VCB 4000A 40KA , SWITCHGEAR INCOMING &amp; TIE PANEL </v>
          </cell>
          <cell r="C96">
            <v>3</v>
          </cell>
          <cell r="D96" t="str">
            <v>PNL</v>
          </cell>
          <cell r="E96">
            <v>1300000</v>
          </cell>
          <cell r="F96">
            <v>3900000</v>
          </cell>
          <cell r="H96">
            <v>0</v>
          </cell>
          <cell r="I96">
            <v>30</v>
          </cell>
          <cell r="J96">
            <v>90</v>
          </cell>
          <cell r="K96">
            <v>1300000</v>
          </cell>
          <cell r="L96">
            <v>3900000</v>
          </cell>
          <cell r="M96">
            <v>0</v>
          </cell>
          <cell r="N96">
            <v>0</v>
          </cell>
          <cell r="O96">
            <v>8400</v>
          </cell>
          <cell r="P96">
            <v>25200</v>
          </cell>
        </row>
        <row r="97">
          <cell r="A97" t="str">
            <v>A.2.2</v>
          </cell>
          <cell r="B97" t="str">
            <v xml:space="preserve">  6.9KV VCB 1250A 40KA , SWITCHGEAR FEEDER PANEL </v>
          </cell>
          <cell r="C97">
            <v>6</v>
          </cell>
          <cell r="D97" t="str">
            <v>PNL</v>
          </cell>
          <cell r="E97">
            <v>750000</v>
          </cell>
          <cell r="F97">
            <v>4500000</v>
          </cell>
          <cell r="H97">
            <v>0</v>
          </cell>
          <cell r="I97">
            <v>20</v>
          </cell>
          <cell r="J97">
            <v>120</v>
          </cell>
          <cell r="K97">
            <v>750000</v>
          </cell>
          <cell r="L97">
            <v>4500000</v>
          </cell>
          <cell r="M97">
            <v>0</v>
          </cell>
          <cell r="N97">
            <v>0</v>
          </cell>
          <cell r="O97">
            <v>5600</v>
          </cell>
          <cell r="P97">
            <v>33600</v>
          </cell>
        </row>
        <row r="98">
          <cell r="A98" t="str">
            <v>A.2.3</v>
          </cell>
          <cell r="B98" t="str">
            <v xml:space="preserve">  6.9KV 500KVA , W/GCS , CAPACIATOR PANEL</v>
          </cell>
          <cell r="C98">
            <v>2</v>
          </cell>
          <cell r="D98" t="str">
            <v>PNL</v>
          </cell>
          <cell r="E98">
            <v>600000</v>
          </cell>
          <cell r="F98">
            <v>1200000</v>
          </cell>
          <cell r="H98">
            <v>0</v>
          </cell>
          <cell r="I98">
            <v>20</v>
          </cell>
          <cell r="J98">
            <v>40</v>
          </cell>
          <cell r="K98">
            <v>600000</v>
          </cell>
          <cell r="L98">
            <v>1200000</v>
          </cell>
          <cell r="M98">
            <v>0</v>
          </cell>
          <cell r="N98">
            <v>0</v>
          </cell>
          <cell r="O98">
            <v>5600</v>
          </cell>
          <cell r="P98">
            <v>11200</v>
          </cell>
        </row>
        <row r="99">
          <cell r="A99" t="str">
            <v>A.2.4</v>
          </cell>
          <cell r="B99" t="str">
            <v xml:space="preserve">  CAST RESIN DRY TYPE TR. , IP20 ENCLOSURE , 3 PHASE 6.9KV/480V ,1000KVA </v>
          </cell>
          <cell r="C99">
            <v>2</v>
          </cell>
          <cell r="D99" t="str">
            <v>SET</v>
          </cell>
          <cell r="E99">
            <v>410000</v>
          </cell>
          <cell r="F99">
            <v>820000</v>
          </cell>
          <cell r="H99">
            <v>0</v>
          </cell>
          <cell r="I99">
            <v>108</v>
          </cell>
          <cell r="J99">
            <v>216</v>
          </cell>
          <cell r="K99">
            <v>410000</v>
          </cell>
          <cell r="L99">
            <v>820000</v>
          </cell>
          <cell r="M99">
            <v>0</v>
          </cell>
          <cell r="N99">
            <v>0</v>
          </cell>
          <cell r="O99">
            <v>30240</v>
          </cell>
          <cell r="P99">
            <v>60480</v>
          </cell>
        </row>
        <row r="100">
          <cell r="A100" t="str">
            <v>A.2.5</v>
          </cell>
          <cell r="B100" t="str">
            <v xml:space="preserve">  480V BUS DUCT, 3PH 3W, 1600A INDOOR, 30KA , 6M LG</v>
          </cell>
          <cell r="C100">
            <v>2</v>
          </cell>
          <cell r="D100" t="str">
            <v>SET</v>
          </cell>
          <cell r="E100">
            <v>210000</v>
          </cell>
          <cell r="F100">
            <v>420000</v>
          </cell>
          <cell r="H100">
            <v>0</v>
          </cell>
          <cell r="I100">
            <v>36</v>
          </cell>
          <cell r="J100">
            <v>72</v>
          </cell>
          <cell r="K100">
            <v>210000</v>
          </cell>
          <cell r="L100">
            <v>420000</v>
          </cell>
          <cell r="M100">
            <v>0</v>
          </cell>
          <cell r="N100">
            <v>0</v>
          </cell>
          <cell r="O100">
            <v>10080</v>
          </cell>
          <cell r="P100">
            <v>20160</v>
          </cell>
        </row>
        <row r="101">
          <cell r="A101" t="str">
            <v>A.2.6</v>
          </cell>
          <cell r="B101" t="str">
            <v xml:space="preserve">  480V SWGR , 30KA, INCOMING ACB1600Ax2PNL &amp; TIE ACB1600A </v>
          </cell>
          <cell r="C101">
            <v>1</v>
          </cell>
          <cell r="D101" t="str">
            <v>LOT</v>
          </cell>
          <cell r="E101">
            <v>1100000</v>
          </cell>
          <cell r="F101">
            <v>1100000</v>
          </cell>
          <cell r="H101">
            <v>0</v>
          </cell>
          <cell r="I101">
            <v>60</v>
          </cell>
          <cell r="J101">
            <v>60</v>
          </cell>
          <cell r="K101">
            <v>1100000</v>
          </cell>
          <cell r="L101">
            <v>1100000</v>
          </cell>
          <cell r="M101">
            <v>0</v>
          </cell>
          <cell r="N101">
            <v>0</v>
          </cell>
          <cell r="O101">
            <v>16800</v>
          </cell>
          <cell r="P101">
            <v>16800</v>
          </cell>
        </row>
        <row r="102">
          <cell r="A102" t="str">
            <v>A.2.7</v>
          </cell>
          <cell r="B102" t="str">
            <v xml:space="preserve">  480V MCC SINGLE FACE , 30KA</v>
          </cell>
          <cell r="C102">
            <v>7</v>
          </cell>
          <cell r="D102" t="str">
            <v>PNL</v>
          </cell>
          <cell r="E102">
            <v>120000</v>
          </cell>
          <cell r="F102">
            <v>840000</v>
          </cell>
          <cell r="H102">
            <v>0</v>
          </cell>
          <cell r="I102">
            <v>15</v>
          </cell>
          <cell r="J102">
            <v>105</v>
          </cell>
          <cell r="K102">
            <v>120000</v>
          </cell>
          <cell r="L102">
            <v>840000</v>
          </cell>
          <cell r="M102">
            <v>0</v>
          </cell>
          <cell r="N102">
            <v>0</v>
          </cell>
          <cell r="O102">
            <v>4200</v>
          </cell>
          <cell r="P102">
            <v>29400</v>
          </cell>
        </row>
        <row r="103">
          <cell r="B103" t="str">
            <v>SUB-TOTAL (A.2)</v>
          </cell>
          <cell r="F103">
            <v>12780000</v>
          </cell>
          <cell r="J103">
            <v>703</v>
          </cell>
          <cell r="L103">
            <v>12780000</v>
          </cell>
          <cell r="P103">
            <v>196840</v>
          </cell>
        </row>
        <row r="105">
          <cell r="A105" t="str">
            <v>*</v>
          </cell>
          <cell r="B105" t="str">
            <v>DWG. NO. XK11A-0000-05,06,07,08</v>
          </cell>
          <cell r="F105">
            <v>0</v>
          </cell>
          <cell r="H105">
            <v>0</v>
          </cell>
          <cell r="J105">
            <v>0</v>
          </cell>
          <cell r="K105">
            <v>0</v>
          </cell>
          <cell r="L105">
            <v>0</v>
          </cell>
          <cell r="M105">
            <v>0</v>
          </cell>
          <cell r="N105">
            <v>0</v>
          </cell>
          <cell r="O105">
            <v>0</v>
          </cell>
          <cell r="P105">
            <v>0</v>
          </cell>
        </row>
        <row r="106">
          <cell r="A106" t="str">
            <v xml:space="preserve">   A.3</v>
          </cell>
          <cell r="B106" t="str">
            <v>NO.1 SUBSTATION (場區)</v>
          </cell>
          <cell r="F106">
            <v>0</v>
          </cell>
          <cell r="H106">
            <v>0</v>
          </cell>
          <cell r="J106">
            <v>0</v>
          </cell>
          <cell r="K106">
            <v>0</v>
          </cell>
          <cell r="L106">
            <v>0</v>
          </cell>
          <cell r="M106">
            <v>0</v>
          </cell>
          <cell r="N106">
            <v>0</v>
          </cell>
          <cell r="O106">
            <v>0</v>
          </cell>
          <cell r="P106">
            <v>0</v>
          </cell>
        </row>
        <row r="107">
          <cell r="A107" t="str">
            <v>A.3.1</v>
          </cell>
          <cell r="B107" t="str">
            <v xml:space="preserve">  6.9KV VCB 1250A 40KA , SWITCHGEAR INCOMING &amp; TIE PANEL &amp; FEEDER PANEL</v>
          </cell>
          <cell r="C107">
            <v>5</v>
          </cell>
          <cell r="D107" t="str">
            <v>PNL</v>
          </cell>
          <cell r="E107">
            <v>800000</v>
          </cell>
          <cell r="F107">
            <v>4000000</v>
          </cell>
          <cell r="H107">
            <v>0</v>
          </cell>
          <cell r="I107">
            <v>20</v>
          </cell>
          <cell r="J107">
            <v>100</v>
          </cell>
          <cell r="K107">
            <v>800000</v>
          </cell>
          <cell r="L107">
            <v>4000000</v>
          </cell>
          <cell r="M107">
            <v>0</v>
          </cell>
          <cell r="N107">
            <v>0</v>
          </cell>
          <cell r="O107">
            <v>5600</v>
          </cell>
          <cell r="P107">
            <v>28000</v>
          </cell>
        </row>
        <row r="108">
          <cell r="A108" t="str">
            <v>A.3.2</v>
          </cell>
          <cell r="B108" t="str">
            <v xml:space="preserve">  6.9KV GCS ,  NEMA CLASS E2 , MCC PANEL</v>
          </cell>
          <cell r="C108">
            <v>10</v>
          </cell>
          <cell r="D108" t="str">
            <v>PNL</v>
          </cell>
          <cell r="E108">
            <v>500000</v>
          </cell>
          <cell r="F108">
            <v>5000000</v>
          </cell>
          <cell r="H108">
            <v>0</v>
          </cell>
          <cell r="I108">
            <v>20</v>
          </cell>
          <cell r="J108">
            <v>200</v>
          </cell>
          <cell r="K108">
            <v>500000</v>
          </cell>
          <cell r="L108">
            <v>5000000</v>
          </cell>
          <cell r="M108">
            <v>0</v>
          </cell>
          <cell r="N108">
            <v>0</v>
          </cell>
          <cell r="O108">
            <v>5600</v>
          </cell>
          <cell r="P108">
            <v>56000</v>
          </cell>
        </row>
        <row r="109">
          <cell r="A109" t="str">
            <v>A.3.3</v>
          </cell>
          <cell r="B109" t="str">
            <v xml:space="preserve">  6.9KV 500KVA , W/GCS , CAPACIATOR PANEL</v>
          </cell>
          <cell r="C109">
            <v>8</v>
          </cell>
          <cell r="D109" t="str">
            <v>PNL</v>
          </cell>
          <cell r="E109">
            <v>600000</v>
          </cell>
          <cell r="F109">
            <v>4800000</v>
          </cell>
          <cell r="H109">
            <v>0</v>
          </cell>
          <cell r="I109">
            <v>20</v>
          </cell>
          <cell r="J109">
            <v>160</v>
          </cell>
          <cell r="K109">
            <v>600000</v>
          </cell>
          <cell r="L109">
            <v>4800000</v>
          </cell>
          <cell r="M109">
            <v>0</v>
          </cell>
          <cell r="N109">
            <v>0</v>
          </cell>
          <cell r="O109">
            <v>5600</v>
          </cell>
          <cell r="P109">
            <v>44800</v>
          </cell>
        </row>
        <row r="110">
          <cell r="A110" t="str">
            <v>A.3.4</v>
          </cell>
          <cell r="B110" t="str">
            <v xml:space="preserve">  CAST RESIN DRY TYPE TR. , IP20 ENCLOSURE , 3 PHASE 6.9KV/480V ,2000/2500KVA </v>
          </cell>
          <cell r="C110">
            <v>2</v>
          </cell>
          <cell r="D110" t="str">
            <v>SET</v>
          </cell>
          <cell r="E110">
            <v>652000</v>
          </cell>
          <cell r="F110">
            <v>1304000</v>
          </cell>
          <cell r="H110">
            <v>0</v>
          </cell>
          <cell r="I110">
            <v>170</v>
          </cell>
          <cell r="J110">
            <v>340</v>
          </cell>
          <cell r="K110">
            <v>652000</v>
          </cell>
          <cell r="L110">
            <v>1304000</v>
          </cell>
          <cell r="M110">
            <v>0</v>
          </cell>
          <cell r="N110">
            <v>0</v>
          </cell>
          <cell r="O110">
            <v>47600</v>
          </cell>
          <cell r="P110">
            <v>95200</v>
          </cell>
        </row>
        <row r="111">
          <cell r="A111" t="str">
            <v>A.3.5</v>
          </cell>
          <cell r="B111" t="str">
            <v xml:space="preserve">  480V BUS DUCT, 3PH 3W, 4000A INDOOR, 65KA , 6M LG</v>
          </cell>
          <cell r="C111">
            <v>2</v>
          </cell>
          <cell r="D111" t="str">
            <v>SET</v>
          </cell>
          <cell r="E111">
            <v>350000</v>
          </cell>
          <cell r="F111">
            <v>700000</v>
          </cell>
          <cell r="H111">
            <v>0</v>
          </cell>
          <cell r="I111">
            <v>36</v>
          </cell>
          <cell r="J111">
            <v>72</v>
          </cell>
          <cell r="K111">
            <v>350000</v>
          </cell>
          <cell r="L111">
            <v>700000</v>
          </cell>
          <cell r="M111">
            <v>0</v>
          </cell>
          <cell r="N111">
            <v>0</v>
          </cell>
          <cell r="O111">
            <v>10080</v>
          </cell>
          <cell r="P111">
            <v>20160</v>
          </cell>
        </row>
        <row r="112">
          <cell r="A112" t="str">
            <v>A.3.6</v>
          </cell>
          <cell r="B112" t="str">
            <v xml:space="preserve">  480V SWGR , 65KA, INCOMING ACB4000Ax2PNL &amp; TIE ACB4000A</v>
          </cell>
          <cell r="C112">
            <v>1</v>
          </cell>
          <cell r="D112" t="str">
            <v>LOT</v>
          </cell>
          <cell r="E112">
            <v>1830000</v>
          </cell>
          <cell r="F112">
            <v>1830000</v>
          </cell>
          <cell r="H112">
            <v>0</v>
          </cell>
          <cell r="I112">
            <v>60</v>
          </cell>
          <cell r="J112">
            <v>60</v>
          </cell>
          <cell r="K112">
            <v>1830000</v>
          </cell>
          <cell r="L112">
            <v>1830000</v>
          </cell>
          <cell r="M112">
            <v>0</v>
          </cell>
          <cell r="N112">
            <v>0</v>
          </cell>
          <cell r="O112">
            <v>16800</v>
          </cell>
          <cell r="P112">
            <v>16800</v>
          </cell>
        </row>
        <row r="113">
          <cell r="A113" t="str">
            <v>A.3.7</v>
          </cell>
          <cell r="B113" t="str">
            <v xml:space="preserve">  480V MCC SINGLE FACE , 65KA</v>
          </cell>
          <cell r="C113">
            <v>19</v>
          </cell>
          <cell r="D113" t="str">
            <v>PNL</v>
          </cell>
          <cell r="E113">
            <v>160000</v>
          </cell>
          <cell r="F113">
            <v>3040000</v>
          </cell>
          <cell r="H113">
            <v>0</v>
          </cell>
          <cell r="I113">
            <v>15</v>
          </cell>
          <cell r="J113">
            <v>285</v>
          </cell>
          <cell r="K113">
            <v>160000</v>
          </cell>
          <cell r="L113">
            <v>3040000</v>
          </cell>
          <cell r="M113">
            <v>0</v>
          </cell>
          <cell r="N113">
            <v>0</v>
          </cell>
          <cell r="O113">
            <v>4200</v>
          </cell>
          <cell r="P113">
            <v>79800</v>
          </cell>
        </row>
        <row r="114">
          <cell r="A114" t="str">
            <v>A.3.8</v>
          </cell>
          <cell r="B114" t="str">
            <v xml:space="preserve">  480V EMERGENCY SWGR , 65KA, 4000A ACB</v>
          </cell>
          <cell r="C114">
            <v>2</v>
          </cell>
          <cell r="D114" t="str">
            <v>PNL</v>
          </cell>
          <cell r="E114">
            <v>610000</v>
          </cell>
          <cell r="F114">
            <v>1220000</v>
          </cell>
          <cell r="H114">
            <v>0</v>
          </cell>
          <cell r="I114">
            <v>20</v>
          </cell>
          <cell r="J114">
            <v>40</v>
          </cell>
          <cell r="K114">
            <v>610000</v>
          </cell>
          <cell r="L114">
            <v>1220000</v>
          </cell>
          <cell r="M114">
            <v>0</v>
          </cell>
          <cell r="N114">
            <v>0</v>
          </cell>
          <cell r="O114">
            <v>5600</v>
          </cell>
          <cell r="P114">
            <v>11200</v>
          </cell>
        </row>
        <row r="115">
          <cell r="A115" t="str">
            <v>A.3.9</v>
          </cell>
          <cell r="B115" t="str">
            <v xml:space="preserve">  480V EMERGENCY MCC SINGLE FACE , 40KA</v>
          </cell>
          <cell r="C115">
            <v>3</v>
          </cell>
          <cell r="D115" t="str">
            <v>PNL</v>
          </cell>
          <cell r="E115">
            <v>140000</v>
          </cell>
          <cell r="F115">
            <v>420000</v>
          </cell>
          <cell r="H115">
            <v>0</v>
          </cell>
          <cell r="I115">
            <v>15</v>
          </cell>
          <cell r="J115">
            <v>45</v>
          </cell>
          <cell r="K115">
            <v>140000</v>
          </cell>
          <cell r="L115">
            <v>420000</v>
          </cell>
          <cell r="M115">
            <v>0</v>
          </cell>
          <cell r="N115">
            <v>0</v>
          </cell>
          <cell r="O115">
            <v>4200</v>
          </cell>
          <cell r="P115">
            <v>12600</v>
          </cell>
        </row>
        <row r="116">
          <cell r="B116" t="str">
            <v>SUB-TOTAL (A.3)</v>
          </cell>
          <cell r="F116">
            <v>22314000</v>
          </cell>
          <cell r="J116">
            <v>1302</v>
          </cell>
          <cell r="L116">
            <v>22314000</v>
          </cell>
          <cell r="P116">
            <v>364560</v>
          </cell>
        </row>
        <row r="117">
          <cell r="F117">
            <v>0</v>
          </cell>
          <cell r="H117">
            <v>0</v>
          </cell>
          <cell r="J117">
            <v>0</v>
          </cell>
          <cell r="K117">
            <v>0</v>
          </cell>
          <cell r="L117">
            <v>0</v>
          </cell>
          <cell r="M117">
            <v>0</v>
          </cell>
          <cell r="N117">
            <v>0</v>
          </cell>
          <cell r="O117">
            <v>0</v>
          </cell>
          <cell r="P117">
            <v>0</v>
          </cell>
        </row>
        <row r="118">
          <cell r="A118" t="str">
            <v>*</v>
          </cell>
          <cell r="B118" t="str">
            <v>DWG. NO. XK11A-0000-09,10</v>
          </cell>
          <cell r="F118">
            <v>0</v>
          </cell>
          <cell r="H118">
            <v>0</v>
          </cell>
          <cell r="J118">
            <v>0</v>
          </cell>
          <cell r="K118">
            <v>0</v>
          </cell>
          <cell r="L118">
            <v>0</v>
          </cell>
          <cell r="M118">
            <v>0</v>
          </cell>
          <cell r="N118">
            <v>0</v>
          </cell>
          <cell r="O118">
            <v>0</v>
          </cell>
          <cell r="P118">
            <v>0</v>
          </cell>
        </row>
        <row r="119">
          <cell r="A119" t="str">
            <v xml:space="preserve">   A.4</v>
          </cell>
          <cell r="B119" t="str">
            <v>NO.2 SUBSTATION (碼頭區)</v>
          </cell>
          <cell r="F119">
            <v>0</v>
          </cell>
          <cell r="H119">
            <v>0</v>
          </cell>
          <cell r="J119">
            <v>0</v>
          </cell>
          <cell r="K119">
            <v>0</v>
          </cell>
          <cell r="L119">
            <v>0</v>
          </cell>
          <cell r="M119">
            <v>0</v>
          </cell>
          <cell r="N119">
            <v>0</v>
          </cell>
          <cell r="O119">
            <v>0</v>
          </cell>
          <cell r="P119">
            <v>0</v>
          </cell>
        </row>
        <row r="120">
          <cell r="A120" t="str">
            <v>A.4.1</v>
          </cell>
          <cell r="B120" t="str">
            <v xml:space="preserve">  6.9KV VCB 1250A 40KA , SWITCHGEAR INCOMING &amp; TIE PANEL &amp; FEEDER PANEL</v>
          </cell>
          <cell r="C120">
            <v>5</v>
          </cell>
          <cell r="D120" t="str">
            <v>PNL</v>
          </cell>
          <cell r="E120">
            <v>800000</v>
          </cell>
          <cell r="F120">
            <v>4000000</v>
          </cell>
          <cell r="H120">
            <v>0</v>
          </cell>
          <cell r="I120">
            <v>20</v>
          </cell>
          <cell r="J120">
            <v>100</v>
          </cell>
          <cell r="K120">
            <v>800000</v>
          </cell>
          <cell r="L120">
            <v>4000000</v>
          </cell>
          <cell r="M120">
            <v>0</v>
          </cell>
          <cell r="N120">
            <v>0</v>
          </cell>
          <cell r="O120">
            <v>5600</v>
          </cell>
          <cell r="P120">
            <v>28000</v>
          </cell>
        </row>
        <row r="121">
          <cell r="A121" t="str">
            <v>A.4.2</v>
          </cell>
          <cell r="B121" t="str">
            <v xml:space="preserve">  6.9KV VCB 1250A , MCC PANEL</v>
          </cell>
          <cell r="C121">
            <v>3</v>
          </cell>
          <cell r="D121" t="str">
            <v>PNL</v>
          </cell>
          <cell r="E121">
            <v>700000</v>
          </cell>
          <cell r="F121">
            <v>2100000</v>
          </cell>
          <cell r="H121">
            <v>0</v>
          </cell>
          <cell r="I121">
            <v>20</v>
          </cell>
          <cell r="J121">
            <v>60</v>
          </cell>
          <cell r="K121">
            <v>700000</v>
          </cell>
          <cell r="L121">
            <v>2100000</v>
          </cell>
          <cell r="M121">
            <v>0</v>
          </cell>
          <cell r="N121">
            <v>0</v>
          </cell>
          <cell r="O121">
            <v>5600</v>
          </cell>
          <cell r="P121">
            <v>16800</v>
          </cell>
        </row>
        <row r="122">
          <cell r="A122" t="str">
            <v>A.4.3</v>
          </cell>
          <cell r="B122" t="str">
            <v xml:space="preserve">  6.9KV 500KVA , W/GCS , CAPACIATOR PANEL</v>
          </cell>
          <cell r="C122">
            <v>2</v>
          </cell>
          <cell r="D122" t="str">
            <v>PNL</v>
          </cell>
          <cell r="E122">
            <v>600000</v>
          </cell>
          <cell r="F122">
            <v>1200000</v>
          </cell>
          <cell r="H122">
            <v>0</v>
          </cell>
          <cell r="I122">
            <v>20</v>
          </cell>
          <cell r="J122">
            <v>40</v>
          </cell>
          <cell r="K122">
            <v>600000</v>
          </cell>
          <cell r="L122">
            <v>1200000</v>
          </cell>
          <cell r="M122">
            <v>0</v>
          </cell>
          <cell r="N122">
            <v>0</v>
          </cell>
          <cell r="O122">
            <v>5600</v>
          </cell>
          <cell r="P122">
            <v>11200</v>
          </cell>
        </row>
        <row r="123">
          <cell r="A123" t="str">
            <v>A.4.4</v>
          </cell>
          <cell r="B123" t="str">
            <v xml:space="preserve">  6.9KV 1000KVA , W/GCS , CAPACIATOR PANEL</v>
          </cell>
          <cell r="C123">
            <v>2</v>
          </cell>
          <cell r="D123" t="str">
            <v>PNL</v>
          </cell>
          <cell r="E123">
            <v>900000</v>
          </cell>
          <cell r="F123">
            <v>1800000</v>
          </cell>
          <cell r="H123">
            <v>0</v>
          </cell>
          <cell r="I123">
            <v>20</v>
          </cell>
          <cell r="J123">
            <v>40</v>
          </cell>
          <cell r="K123">
            <v>900000</v>
          </cell>
          <cell r="L123">
            <v>1800000</v>
          </cell>
          <cell r="M123">
            <v>0</v>
          </cell>
          <cell r="N123">
            <v>0</v>
          </cell>
          <cell r="O123">
            <v>5600</v>
          </cell>
          <cell r="P123">
            <v>11200</v>
          </cell>
        </row>
        <row r="124">
          <cell r="A124" t="str">
            <v>A.4.5</v>
          </cell>
          <cell r="B124" t="str">
            <v xml:space="preserve">  CAST RESIN DRY TYPE TR. , IP20 ENCLOSURE , 3 PHASE 6.9KV/480V ,1000KVA </v>
          </cell>
          <cell r="C124">
            <v>2</v>
          </cell>
          <cell r="D124" t="str">
            <v>SET</v>
          </cell>
          <cell r="E124">
            <v>410000</v>
          </cell>
          <cell r="F124">
            <v>820000</v>
          </cell>
          <cell r="H124">
            <v>0</v>
          </cell>
          <cell r="I124">
            <v>108</v>
          </cell>
          <cell r="J124">
            <v>216</v>
          </cell>
          <cell r="K124">
            <v>410000</v>
          </cell>
          <cell r="L124">
            <v>820000</v>
          </cell>
          <cell r="M124">
            <v>0</v>
          </cell>
          <cell r="N124">
            <v>0</v>
          </cell>
          <cell r="O124">
            <v>30240</v>
          </cell>
          <cell r="P124">
            <v>60480</v>
          </cell>
        </row>
        <row r="125">
          <cell r="A125" t="str">
            <v>A.4.6</v>
          </cell>
          <cell r="B125" t="str">
            <v xml:space="preserve">  480V BUS DUCT, 3PH 3W, 1600A INDOOR, 30KA , 6M LG</v>
          </cell>
          <cell r="C125">
            <v>2</v>
          </cell>
          <cell r="D125" t="str">
            <v>SET</v>
          </cell>
          <cell r="E125">
            <v>210000</v>
          </cell>
          <cell r="F125">
            <v>420000</v>
          </cell>
          <cell r="H125">
            <v>0</v>
          </cell>
          <cell r="I125">
            <v>36</v>
          </cell>
          <cell r="J125">
            <v>72</v>
          </cell>
          <cell r="K125">
            <v>210000</v>
          </cell>
          <cell r="L125">
            <v>420000</v>
          </cell>
          <cell r="M125">
            <v>0</v>
          </cell>
          <cell r="N125">
            <v>0</v>
          </cell>
          <cell r="O125">
            <v>10080</v>
          </cell>
          <cell r="P125">
            <v>20160</v>
          </cell>
        </row>
        <row r="126">
          <cell r="A126" t="str">
            <v>A.4.7</v>
          </cell>
          <cell r="B126" t="str">
            <v xml:space="preserve">  480V SWGR , 30KA, INCOMING ACB1600Ax2PNL &amp; TIE ACB1600A </v>
          </cell>
          <cell r="C126">
            <v>1</v>
          </cell>
          <cell r="D126" t="str">
            <v>LOT</v>
          </cell>
          <cell r="E126">
            <v>1100000</v>
          </cell>
          <cell r="F126">
            <v>1100000</v>
          </cell>
          <cell r="H126">
            <v>0</v>
          </cell>
          <cell r="I126">
            <v>60</v>
          </cell>
          <cell r="J126">
            <v>60</v>
          </cell>
          <cell r="K126">
            <v>1100000</v>
          </cell>
          <cell r="L126">
            <v>1100000</v>
          </cell>
          <cell r="M126">
            <v>0</v>
          </cell>
          <cell r="N126">
            <v>0</v>
          </cell>
          <cell r="O126">
            <v>16800</v>
          </cell>
          <cell r="P126">
            <v>16800</v>
          </cell>
        </row>
        <row r="127">
          <cell r="A127" t="str">
            <v>A.4.8</v>
          </cell>
          <cell r="B127" t="str">
            <v xml:space="preserve">  480V MCC SINGLE FACE , 30KA</v>
          </cell>
          <cell r="C127">
            <v>7</v>
          </cell>
          <cell r="D127" t="str">
            <v>PNL</v>
          </cell>
          <cell r="E127">
            <v>120000</v>
          </cell>
          <cell r="F127">
            <v>840000</v>
          </cell>
          <cell r="H127">
            <v>0</v>
          </cell>
          <cell r="I127">
            <v>15</v>
          </cell>
          <cell r="J127">
            <v>105</v>
          </cell>
          <cell r="K127">
            <v>120000</v>
          </cell>
          <cell r="L127">
            <v>840000</v>
          </cell>
          <cell r="M127">
            <v>0</v>
          </cell>
          <cell r="N127">
            <v>0</v>
          </cell>
          <cell r="O127">
            <v>4200</v>
          </cell>
          <cell r="P127">
            <v>29400</v>
          </cell>
        </row>
        <row r="128">
          <cell r="B128" t="str">
            <v>SUB-TOTAL (A.4)</v>
          </cell>
          <cell r="F128">
            <v>12280000</v>
          </cell>
          <cell r="J128">
            <v>693</v>
          </cell>
          <cell r="L128">
            <v>12280000</v>
          </cell>
          <cell r="P128">
            <v>194040</v>
          </cell>
        </row>
        <row r="129">
          <cell r="F129">
            <v>0</v>
          </cell>
          <cell r="H129">
            <v>0</v>
          </cell>
          <cell r="J129">
            <v>0</v>
          </cell>
          <cell r="K129">
            <v>0</v>
          </cell>
          <cell r="L129">
            <v>0</v>
          </cell>
          <cell r="M129">
            <v>0</v>
          </cell>
          <cell r="N129">
            <v>0</v>
          </cell>
          <cell r="O129">
            <v>0</v>
          </cell>
          <cell r="P129">
            <v>0</v>
          </cell>
        </row>
        <row r="130">
          <cell r="A130" t="str">
            <v>A.5</v>
          </cell>
          <cell r="B130" t="str">
            <v xml:space="preserve"> DISEL STAND-BY GENERATOR 1250KW OUTPUT,</v>
          </cell>
          <cell r="C130">
            <v>1</v>
          </cell>
          <cell r="D130" t="str">
            <v>SET</v>
          </cell>
          <cell r="E130">
            <v>6250000</v>
          </cell>
          <cell r="F130">
            <v>6250000</v>
          </cell>
          <cell r="H130">
            <v>0</v>
          </cell>
          <cell r="I130">
            <v>560</v>
          </cell>
          <cell r="J130">
            <v>560</v>
          </cell>
          <cell r="K130">
            <v>6250000</v>
          </cell>
          <cell r="L130">
            <v>6250000</v>
          </cell>
          <cell r="M130">
            <v>0</v>
          </cell>
          <cell r="N130">
            <v>0</v>
          </cell>
          <cell r="O130">
            <v>224000</v>
          </cell>
          <cell r="P130">
            <v>224000</v>
          </cell>
        </row>
        <row r="131">
          <cell r="B131" t="str">
            <v xml:space="preserve"> 3PH 3W 480V, W/ CONTROL PANEL , DALY TANK</v>
          </cell>
          <cell r="F131">
            <v>0</v>
          </cell>
          <cell r="H131">
            <v>0</v>
          </cell>
          <cell r="J131">
            <v>0</v>
          </cell>
          <cell r="K131">
            <v>0</v>
          </cell>
          <cell r="L131">
            <v>0</v>
          </cell>
          <cell r="M131">
            <v>0</v>
          </cell>
          <cell r="N131">
            <v>0</v>
          </cell>
          <cell r="O131">
            <v>0</v>
          </cell>
          <cell r="P131">
            <v>0</v>
          </cell>
        </row>
        <row r="132">
          <cell r="F132">
            <v>0</v>
          </cell>
          <cell r="H132">
            <v>0</v>
          </cell>
          <cell r="J132">
            <v>0</v>
          </cell>
          <cell r="K132">
            <v>0</v>
          </cell>
          <cell r="L132">
            <v>0</v>
          </cell>
          <cell r="M132">
            <v>0</v>
          </cell>
          <cell r="N132">
            <v>0</v>
          </cell>
          <cell r="O132">
            <v>0</v>
          </cell>
          <cell r="P132">
            <v>0</v>
          </cell>
        </row>
        <row r="133">
          <cell r="A133" t="str">
            <v>A.6</v>
          </cell>
          <cell r="B133" t="str">
            <v>3 PHASE 480V-120V UPS</v>
          </cell>
          <cell r="F133">
            <v>0</v>
          </cell>
          <cell r="H133">
            <v>0</v>
          </cell>
          <cell r="J133">
            <v>0</v>
          </cell>
          <cell r="K133">
            <v>0</v>
          </cell>
          <cell r="L133">
            <v>0</v>
          </cell>
          <cell r="M133">
            <v>0</v>
          </cell>
          <cell r="N133">
            <v>0</v>
          </cell>
          <cell r="O133">
            <v>0</v>
          </cell>
          <cell r="P133">
            <v>0</v>
          </cell>
        </row>
        <row r="134">
          <cell r="A134" t="str">
            <v>A.6.1</v>
          </cell>
          <cell r="B134" t="str">
            <v xml:space="preserve"> 100 KVA ,  W/ BATTERY LEAD-CALCIUM TYPE 30 MIN.</v>
          </cell>
          <cell r="C134">
            <v>1</v>
          </cell>
          <cell r="D134" t="str">
            <v>SET</v>
          </cell>
          <cell r="E134">
            <v>1250000</v>
          </cell>
          <cell r="F134">
            <v>1250000</v>
          </cell>
          <cell r="H134">
            <v>0</v>
          </cell>
          <cell r="I134">
            <v>188</v>
          </cell>
          <cell r="J134">
            <v>188</v>
          </cell>
          <cell r="K134">
            <v>1250000</v>
          </cell>
          <cell r="L134">
            <v>1250000</v>
          </cell>
          <cell r="M134">
            <v>0</v>
          </cell>
          <cell r="N134">
            <v>0</v>
          </cell>
          <cell r="O134">
            <v>52640</v>
          </cell>
          <cell r="P134">
            <v>52640</v>
          </cell>
        </row>
        <row r="135">
          <cell r="A135" t="str">
            <v>A.6.2</v>
          </cell>
          <cell r="B135" t="str">
            <v xml:space="preserve"> 15 KVA ,  W/ BATTERY LEAD-CALCIUM TYPE 30 MIN.</v>
          </cell>
          <cell r="C135">
            <v>1</v>
          </cell>
          <cell r="D135" t="str">
            <v>SET</v>
          </cell>
          <cell r="E135">
            <v>300000</v>
          </cell>
          <cell r="F135">
            <v>300000</v>
          </cell>
          <cell r="H135">
            <v>0</v>
          </cell>
          <cell r="I135">
            <v>50</v>
          </cell>
          <cell r="J135">
            <v>50</v>
          </cell>
          <cell r="K135">
            <v>300000</v>
          </cell>
          <cell r="L135">
            <v>300000</v>
          </cell>
          <cell r="M135">
            <v>0</v>
          </cell>
          <cell r="N135">
            <v>0</v>
          </cell>
          <cell r="O135">
            <v>14000</v>
          </cell>
          <cell r="P135">
            <v>14000</v>
          </cell>
        </row>
        <row r="136">
          <cell r="B136" t="str">
            <v>SUB-TOTAL (A.6)</v>
          </cell>
          <cell r="F136">
            <v>1550000</v>
          </cell>
          <cell r="J136">
            <v>238</v>
          </cell>
          <cell r="L136">
            <v>1550000</v>
          </cell>
          <cell r="P136">
            <v>66640</v>
          </cell>
        </row>
        <row r="138">
          <cell r="A138" t="str">
            <v>A.7</v>
          </cell>
          <cell r="B138" t="str">
            <v xml:space="preserve">  DC POWER SUPPLY       </v>
          </cell>
        </row>
        <row r="139">
          <cell r="A139" t="str">
            <v>A.7.1</v>
          </cell>
          <cell r="B139" t="str">
            <v xml:space="preserve"> 125VDC CHAGER, 50A,  W/ 60AH LEAD-CALCIUM BATTERY &amp; RACK</v>
          </cell>
          <cell r="C139">
            <v>1</v>
          </cell>
          <cell r="D139" t="str">
            <v>SET</v>
          </cell>
          <cell r="E139">
            <v>325000</v>
          </cell>
          <cell r="F139">
            <v>325000</v>
          </cell>
          <cell r="H139">
            <v>0</v>
          </cell>
          <cell r="I139">
            <v>50</v>
          </cell>
          <cell r="J139">
            <v>50</v>
          </cell>
          <cell r="K139">
            <v>325000</v>
          </cell>
          <cell r="L139">
            <v>325000</v>
          </cell>
          <cell r="M139">
            <v>0</v>
          </cell>
          <cell r="N139">
            <v>0</v>
          </cell>
          <cell r="O139">
            <v>14000</v>
          </cell>
          <cell r="P139">
            <v>14000</v>
          </cell>
        </row>
        <row r="140">
          <cell r="A140" t="str">
            <v>A.7.2</v>
          </cell>
          <cell r="B140" t="str">
            <v xml:space="preserve"> 125VDC CHAGER, 25A,  W/ 30AH LEAD-CALCIUM BATTERY &amp; RACK</v>
          </cell>
          <cell r="C140">
            <v>2</v>
          </cell>
          <cell r="D140" t="str">
            <v>SET</v>
          </cell>
          <cell r="E140">
            <v>245000</v>
          </cell>
          <cell r="F140">
            <v>490000</v>
          </cell>
          <cell r="H140">
            <v>0</v>
          </cell>
          <cell r="I140">
            <v>35</v>
          </cell>
          <cell r="J140">
            <v>70</v>
          </cell>
          <cell r="K140">
            <v>245000</v>
          </cell>
          <cell r="L140">
            <v>490000</v>
          </cell>
          <cell r="M140">
            <v>0</v>
          </cell>
          <cell r="N140">
            <v>0</v>
          </cell>
          <cell r="O140">
            <v>9800</v>
          </cell>
          <cell r="P140">
            <v>19600</v>
          </cell>
        </row>
        <row r="141">
          <cell r="B141" t="str">
            <v>SUB-TOTAL (A7)</v>
          </cell>
          <cell r="F141">
            <v>815000</v>
          </cell>
          <cell r="J141">
            <v>120</v>
          </cell>
          <cell r="L141">
            <v>815000</v>
          </cell>
          <cell r="P141">
            <v>33600</v>
          </cell>
        </row>
        <row r="143">
          <cell r="A143" t="str">
            <v>A.8</v>
          </cell>
          <cell r="B143" t="str">
            <v>OTHER</v>
          </cell>
        </row>
        <row r="144">
          <cell r="A144" t="str">
            <v>A.8.1</v>
          </cell>
          <cell r="B144" t="str">
            <v>SELF-STANDING POWER PANEL, 480V, 65KA</v>
          </cell>
          <cell r="C144">
            <v>1</v>
          </cell>
          <cell r="D144" t="str">
            <v>SET</v>
          </cell>
          <cell r="E144">
            <v>120000</v>
          </cell>
          <cell r="F144">
            <v>120000</v>
          </cell>
          <cell r="H144">
            <v>0</v>
          </cell>
          <cell r="I144">
            <v>20</v>
          </cell>
          <cell r="J144">
            <v>20</v>
          </cell>
          <cell r="K144">
            <v>120000</v>
          </cell>
          <cell r="L144">
            <v>120000</v>
          </cell>
          <cell r="M144">
            <v>0</v>
          </cell>
          <cell r="N144">
            <v>0</v>
          </cell>
          <cell r="O144">
            <v>5600</v>
          </cell>
          <cell r="P144">
            <v>5600</v>
          </cell>
        </row>
        <row r="145">
          <cell r="B145" t="str">
            <v>PNL. NO. CCR2-D-MC1 (DWG. NO. XK11A-0000-12)</v>
          </cell>
          <cell r="F145">
            <v>0</v>
          </cell>
          <cell r="H145">
            <v>0</v>
          </cell>
          <cell r="J145">
            <v>0</v>
          </cell>
          <cell r="K145">
            <v>0</v>
          </cell>
          <cell r="L145">
            <v>0</v>
          </cell>
          <cell r="M145">
            <v>0</v>
          </cell>
          <cell r="N145">
            <v>0</v>
          </cell>
          <cell r="O145">
            <v>0</v>
          </cell>
          <cell r="P145">
            <v>0</v>
          </cell>
        </row>
        <row r="146">
          <cell r="A146" t="str">
            <v>A.8.2</v>
          </cell>
          <cell r="B146" t="str">
            <v>SELF-STANDING POWER PANEL, 480V, 30KA (DWG. NO. XK11A-0000-12)</v>
          </cell>
          <cell r="C146">
            <v>6</v>
          </cell>
          <cell r="D146" t="str">
            <v>SET</v>
          </cell>
          <cell r="E146">
            <v>140000</v>
          </cell>
          <cell r="F146">
            <v>840000</v>
          </cell>
          <cell r="H146">
            <v>0</v>
          </cell>
          <cell r="I146">
            <v>20</v>
          </cell>
          <cell r="J146">
            <v>120</v>
          </cell>
          <cell r="K146">
            <v>140000</v>
          </cell>
          <cell r="L146">
            <v>840000</v>
          </cell>
          <cell r="M146">
            <v>0</v>
          </cell>
          <cell r="N146">
            <v>0</v>
          </cell>
          <cell r="O146">
            <v>5600</v>
          </cell>
          <cell r="P146">
            <v>33600</v>
          </cell>
        </row>
        <row r="147">
          <cell r="B147" t="str">
            <v>PNL. NO. POWER PANEL.</v>
          </cell>
          <cell r="F147">
            <v>0</v>
          </cell>
          <cell r="H147">
            <v>0</v>
          </cell>
          <cell r="J147">
            <v>0</v>
          </cell>
          <cell r="K147">
            <v>0</v>
          </cell>
          <cell r="L147">
            <v>0</v>
          </cell>
          <cell r="M147">
            <v>0</v>
          </cell>
          <cell r="N147">
            <v>0</v>
          </cell>
          <cell r="O147">
            <v>0</v>
          </cell>
          <cell r="P147">
            <v>0</v>
          </cell>
        </row>
        <row r="148">
          <cell r="A148" t="str">
            <v>A.8.3</v>
          </cell>
          <cell r="B148" t="str">
            <v>DRY RTANSFORMER, WEATHER PROOF ENCLOSURE</v>
          </cell>
          <cell r="F148">
            <v>0</v>
          </cell>
          <cell r="H148">
            <v>0</v>
          </cell>
          <cell r="J148">
            <v>0</v>
          </cell>
          <cell r="K148">
            <v>0</v>
          </cell>
          <cell r="L148">
            <v>0</v>
          </cell>
          <cell r="M148">
            <v>0</v>
          </cell>
          <cell r="N148">
            <v>0</v>
          </cell>
          <cell r="O148">
            <v>0</v>
          </cell>
          <cell r="P148">
            <v>0</v>
          </cell>
        </row>
        <row r="149">
          <cell r="B149" t="str">
            <v>480/240V, 30KVA</v>
          </cell>
          <cell r="C149">
            <v>9</v>
          </cell>
          <cell r="D149" t="str">
            <v>SET</v>
          </cell>
          <cell r="E149">
            <v>40000</v>
          </cell>
          <cell r="F149">
            <v>360000</v>
          </cell>
          <cell r="H149">
            <v>0</v>
          </cell>
          <cell r="I149">
            <v>18</v>
          </cell>
          <cell r="J149">
            <v>162</v>
          </cell>
          <cell r="K149">
            <v>40000</v>
          </cell>
          <cell r="L149">
            <v>360000</v>
          </cell>
          <cell r="M149">
            <v>0</v>
          </cell>
          <cell r="N149">
            <v>0</v>
          </cell>
          <cell r="O149">
            <v>5040</v>
          </cell>
          <cell r="P149">
            <v>45360</v>
          </cell>
        </row>
        <row r="150">
          <cell r="B150" t="str">
            <v>480/240V, 20KVA</v>
          </cell>
          <cell r="C150">
            <v>6</v>
          </cell>
          <cell r="D150" t="str">
            <v>SET</v>
          </cell>
          <cell r="E150">
            <v>30000</v>
          </cell>
          <cell r="F150">
            <v>180000</v>
          </cell>
          <cell r="H150">
            <v>0</v>
          </cell>
          <cell r="I150">
            <v>14</v>
          </cell>
          <cell r="J150">
            <v>84</v>
          </cell>
          <cell r="K150">
            <v>30000</v>
          </cell>
          <cell r="L150">
            <v>180000</v>
          </cell>
          <cell r="M150">
            <v>0</v>
          </cell>
          <cell r="N150">
            <v>0</v>
          </cell>
          <cell r="O150">
            <v>3920</v>
          </cell>
          <cell r="P150">
            <v>23520</v>
          </cell>
        </row>
        <row r="151">
          <cell r="B151" t="str">
            <v>480/240V, 10KVA</v>
          </cell>
          <cell r="C151">
            <v>9</v>
          </cell>
          <cell r="D151" t="str">
            <v>SET</v>
          </cell>
          <cell r="E151">
            <v>22000</v>
          </cell>
          <cell r="F151">
            <v>198000</v>
          </cell>
          <cell r="H151">
            <v>0</v>
          </cell>
          <cell r="I151">
            <v>9</v>
          </cell>
          <cell r="J151">
            <v>81</v>
          </cell>
          <cell r="K151">
            <v>22000</v>
          </cell>
          <cell r="L151">
            <v>198000</v>
          </cell>
          <cell r="M151">
            <v>0</v>
          </cell>
          <cell r="N151">
            <v>0</v>
          </cell>
          <cell r="O151">
            <v>2520</v>
          </cell>
          <cell r="P151">
            <v>22680</v>
          </cell>
        </row>
        <row r="152">
          <cell r="A152" t="str">
            <v>A.8.4</v>
          </cell>
          <cell r="B152" t="str">
            <v xml:space="preserve"> MCC FOR TRASH , 480V MCC SINGLE FACE , 30KA</v>
          </cell>
          <cell r="C152">
            <v>5</v>
          </cell>
          <cell r="D152" t="str">
            <v>SET</v>
          </cell>
          <cell r="E152">
            <v>120000</v>
          </cell>
          <cell r="F152">
            <v>600000</v>
          </cell>
          <cell r="H152">
            <v>0</v>
          </cell>
          <cell r="I152">
            <v>15</v>
          </cell>
          <cell r="J152">
            <v>75</v>
          </cell>
          <cell r="K152">
            <v>120000</v>
          </cell>
          <cell r="L152">
            <v>600000</v>
          </cell>
          <cell r="M152">
            <v>0</v>
          </cell>
          <cell r="N152">
            <v>0</v>
          </cell>
          <cell r="O152">
            <v>4200</v>
          </cell>
          <cell r="P152">
            <v>21000</v>
          </cell>
        </row>
        <row r="153">
          <cell r="A153" t="str">
            <v>A.8.5</v>
          </cell>
          <cell r="B153" t="str">
            <v>600VAC, 100A ATS PANEL, WALL MOUNT, INDOOR</v>
          </cell>
          <cell r="C153">
            <v>3</v>
          </cell>
          <cell r="D153" t="str">
            <v>SET</v>
          </cell>
          <cell r="E153">
            <v>100000</v>
          </cell>
          <cell r="F153">
            <v>300000</v>
          </cell>
          <cell r="H153">
            <v>0</v>
          </cell>
          <cell r="I153">
            <v>15</v>
          </cell>
          <cell r="J153">
            <v>45</v>
          </cell>
          <cell r="K153">
            <v>100000</v>
          </cell>
          <cell r="L153">
            <v>300000</v>
          </cell>
          <cell r="M153">
            <v>0</v>
          </cell>
          <cell r="N153">
            <v>0</v>
          </cell>
          <cell r="O153">
            <v>4200</v>
          </cell>
          <cell r="P153">
            <v>12600</v>
          </cell>
        </row>
        <row r="154">
          <cell r="A154" t="str">
            <v>A.8.6</v>
          </cell>
          <cell r="B154" t="str">
            <v>100A NFB PANEL, WALL MOUNT., INDOOR</v>
          </cell>
          <cell r="C154">
            <v>6</v>
          </cell>
          <cell r="D154" t="str">
            <v>SET</v>
          </cell>
          <cell r="E154">
            <v>4000</v>
          </cell>
          <cell r="F154">
            <v>24000</v>
          </cell>
          <cell r="H154">
            <v>0</v>
          </cell>
          <cell r="I154">
            <v>4</v>
          </cell>
          <cell r="J154">
            <v>24</v>
          </cell>
          <cell r="K154">
            <v>4000</v>
          </cell>
          <cell r="L154">
            <v>24000</v>
          </cell>
          <cell r="M154">
            <v>0</v>
          </cell>
          <cell r="N154">
            <v>0</v>
          </cell>
          <cell r="O154">
            <v>1120</v>
          </cell>
          <cell r="P154">
            <v>6720</v>
          </cell>
        </row>
        <row r="155">
          <cell r="A155" t="str">
            <v>A.8.7</v>
          </cell>
          <cell r="B155" t="str">
            <v>600V PDP PANEL, WALL MOUNT, INDOOR</v>
          </cell>
          <cell r="C155">
            <v>6</v>
          </cell>
          <cell r="D155" t="str">
            <v>SET</v>
          </cell>
          <cell r="E155">
            <v>9000</v>
          </cell>
          <cell r="F155">
            <v>54000</v>
          </cell>
          <cell r="H155">
            <v>0</v>
          </cell>
          <cell r="I155">
            <v>6</v>
          </cell>
          <cell r="J155">
            <v>36</v>
          </cell>
          <cell r="K155">
            <v>9000</v>
          </cell>
          <cell r="L155">
            <v>54000</v>
          </cell>
          <cell r="M155">
            <v>0</v>
          </cell>
          <cell r="N155">
            <v>0</v>
          </cell>
          <cell r="O155">
            <v>1680</v>
          </cell>
          <cell r="P155">
            <v>10080</v>
          </cell>
        </row>
        <row r="156">
          <cell r="B156" t="str">
            <v>W/NFB 100A x 1, 20A x6, 10KA</v>
          </cell>
        </row>
        <row r="157">
          <cell r="A157" t="str">
            <v>A.8.8</v>
          </cell>
          <cell r="B157" t="str">
            <v>POWER SYSTEM GRAPHIC PANEL, SELF-STANDING,</v>
          </cell>
          <cell r="C157">
            <v>1</v>
          </cell>
          <cell r="D157" t="str">
            <v>SET</v>
          </cell>
          <cell r="E157">
            <v>320000</v>
          </cell>
          <cell r="F157">
            <v>320000</v>
          </cell>
          <cell r="H157">
            <v>0</v>
          </cell>
          <cell r="I157">
            <v>30</v>
          </cell>
          <cell r="J157">
            <v>30</v>
          </cell>
          <cell r="K157">
            <v>320000</v>
          </cell>
          <cell r="L157">
            <v>320000</v>
          </cell>
          <cell r="M157">
            <v>0</v>
          </cell>
          <cell r="N157">
            <v>0</v>
          </cell>
          <cell r="O157">
            <v>8400</v>
          </cell>
          <cell r="P157">
            <v>8400</v>
          </cell>
        </row>
        <row r="158">
          <cell r="B158" t="str">
            <v xml:space="preserve"> ENCLOSURE SIZE 2200(W)x2300(H)x600(D)MM.</v>
          </cell>
          <cell r="F158">
            <v>0</v>
          </cell>
          <cell r="H158">
            <v>0</v>
          </cell>
          <cell r="J158">
            <v>0</v>
          </cell>
          <cell r="K158">
            <v>0</v>
          </cell>
          <cell r="L158">
            <v>0</v>
          </cell>
          <cell r="M158">
            <v>0</v>
          </cell>
          <cell r="N158">
            <v>0</v>
          </cell>
          <cell r="O158">
            <v>0</v>
          </cell>
          <cell r="P158">
            <v>0</v>
          </cell>
        </row>
        <row r="159">
          <cell r="B159" t="str">
            <v>MOSAIC PANEL SIZE 2000(W)x1000(H)MM., W/ LIGHT x60</v>
          </cell>
          <cell r="F159">
            <v>0</v>
          </cell>
          <cell r="H159">
            <v>0</v>
          </cell>
          <cell r="J159">
            <v>0</v>
          </cell>
          <cell r="K159">
            <v>0</v>
          </cell>
          <cell r="L159">
            <v>0</v>
          </cell>
          <cell r="M159">
            <v>0</v>
          </cell>
          <cell r="N159">
            <v>0</v>
          </cell>
          <cell r="O159">
            <v>0</v>
          </cell>
          <cell r="P159">
            <v>0</v>
          </cell>
        </row>
        <row r="160">
          <cell r="B160" t="str">
            <v>SUB-TOTAL (A.8)</v>
          </cell>
          <cell r="F160">
            <v>2996000</v>
          </cell>
          <cell r="J160">
            <v>677</v>
          </cell>
          <cell r="L160">
            <v>2996000</v>
          </cell>
          <cell r="O160">
            <v>0</v>
          </cell>
          <cell r="P160">
            <v>189560</v>
          </cell>
        </row>
        <row r="161">
          <cell r="O161">
            <v>0</v>
          </cell>
        </row>
        <row r="162">
          <cell r="A162" t="str">
            <v xml:space="preserve">   A.9</v>
          </cell>
          <cell r="B162" t="str">
            <v xml:space="preserve"> TEST FEE FOR MECH-ELEC CONSULANT CO. &amp; T.P.C.</v>
          </cell>
          <cell r="C162">
            <v>1</v>
          </cell>
          <cell r="D162" t="str">
            <v>LOT</v>
          </cell>
          <cell r="E162" t="str">
            <v>M+L</v>
          </cell>
          <cell r="F162" t="str">
            <v>M+L</v>
          </cell>
          <cell r="H162">
            <v>0</v>
          </cell>
          <cell r="I162">
            <v>1607</v>
          </cell>
          <cell r="J162">
            <v>1607</v>
          </cell>
          <cell r="K162" t="str">
            <v>M+L</v>
          </cell>
          <cell r="L162" t="str">
            <v>M+L</v>
          </cell>
          <cell r="M162">
            <v>0</v>
          </cell>
          <cell r="N162">
            <v>0</v>
          </cell>
          <cell r="O162">
            <v>1800000</v>
          </cell>
          <cell r="P162">
            <v>1800000</v>
          </cell>
        </row>
        <row r="163">
          <cell r="F163">
            <v>0</v>
          </cell>
          <cell r="H163">
            <v>0</v>
          </cell>
          <cell r="J163">
            <v>0</v>
          </cell>
          <cell r="K163">
            <v>0</v>
          </cell>
          <cell r="L163">
            <v>0</v>
          </cell>
          <cell r="M163">
            <v>0</v>
          </cell>
          <cell r="N163">
            <v>0</v>
          </cell>
          <cell r="O163">
            <v>0</v>
          </cell>
          <cell r="P163">
            <v>0</v>
          </cell>
        </row>
        <row r="164">
          <cell r="B164" t="str">
            <v>SUB-TOTAL : (A)</v>
          </cell>
          <cell r="F164">
            <v>138612100</v>
          </cell>
          <cell r="H164">
            <v>0</v>
          </cell>
          <cell r="J164">
            <v>13764</v>
          </cell>
          <cell r="K164">
            <v>0</v>
          </cell>
          <cell r="L164">
            <v>138612100</v>
          </cell>
          <cell r="M164">
            <v>0</v>
          </cell>
          <cell r="N164">
            <v>0</v>
          </cell>
          <cell r="O164">
            <v>0</v>
          </cell>
          <cell r="P164">
            <v>6155030</v>
          </cell>
        </row>
        <row r="167">
          <cell r="F167">
            <v>0</v>
          </cell>
          <cell r="H167">
            <v>0</v>
          </cell>
          <cell r="J167">
            <v>0</v>
          </cell>
          <cell r="K167">
            <v>0</v>
          </cell>
          <cell r="L167">
            <v>0</v>
          </cell>
          <cell r="M167">
            <v>0</v>
          </cell>
          <cell r="N167">
            <v>0</v>
          </cell>
          <cell r="O167">
            <v>0</v>
          </cell>
          <cell r="P167">
            <v>0</v>
          </cell>
        </row>
        <row r="168">
          <cell r="A168" t="str">
            <v>B</v>
          </cell>
          <cell r="B168" t="str">
            <v xml:space="preserve"> POWER DISTRIBUTION SYSTEM</v>
          </cell>
          <cell r="F168">
            <v>0</v>
          </cell>
          <cell r="H168">
            <v>0</v>
          </cell>
          <cell r="J168">
            <v>0</v>
          </cell>
          <cell r="K168">
            <v>0</v>
          </cell>
          <cell r="L168">
            <v>0</v>
          </cell>
          <cell r="M168">
            <v>0</v>
          </cell>
          <cell r="N168">
            <v>0</v>
          </cell>
          <cell r="O168">
            <v>0</v>
          </cell>
          <cell r="P168">
            <v>0</v>
          </cell>
        </row>
        <row r="169">
          <cell r="F169">
            <v>0</v>
          </cell>
          <cell r="H169">
            <v>0</v>
          </cell>
          <cell r="J169">
            <v>0</v>
          </cell>
          <cell r="K169">
            <v>0</v>
          </cell>
          <cell r="L169">
            <v>0</v>
          </cell>
          <cell r="M169">
            <v>0</v>
          </cell>
          <cell r="N169">
            <v>0</v>
          </cell>
          <cell r="O169">
            <v>0</v>
          </cell>
          <cell r="P169">
            <v>0</v>
          </cell>
        </row>
        <row r="170">
          <cell r="B170" t="str">
            <v xml:space="preserve"> 600V POWER CABLE, XLPE INSU. PVC JACKET</v>
          </cell>
          <cell r="F170">
            <v>0</v>
          </cell>
          <cell r="H170">
            <v>0</v>
          </cell>
          <cell r="J170">
            <v>0</v>
          </cell>
          <cell r="K170">
            <v>0</v>
          </cell>
          <cell r="L170">
            <v>0</v>
          </cell>
          <cell r="M170">
            <v>0</v>
          </cell>
          <cell r="N170">
            <v>0</v>
          </cell>
          <cell r="O170">
            <v>0</v>
          </cell>
          <cell r="P170">
            <v>0</v>
          </cell>
        </row>
        <row r="171">
          <cell r="A171">
            <v>1</v>
          </cell>
          <cell r="B171" t="str">
            <v xml:space="preserve">    3/C 3.5 sq.mm </v>
          </cell>
          <cell r="C171">
            <v>4500</v>
          </cell>
          <cell r="D171" t="str">
            <v>M</v>
          </cell>
          <cell r="E171">
            <v>15</v>
          </cell>
          <cell r="F171">
            <v>67500</v>
          </cell>
          <cell r="H171">
            <v>0</v>
          </cell>
          <cell r="I171">
            <v>7.9000000000000001E-2</v>
          </cell>
          <cell r="J171">
            <v>356</v>
          </cell>
          <cell r="K171">
            <v>15</v>
          </cell>
          <cell r="L171">
            <v>67500</v>
          </cell>
          <cell r="M171">
            <v>0</v>
          </cell>
          <cell r="N171">
            <v>0</v>
          </cell>
          <cell r="O171">
            <v>22</v>
          </cell>
          <cell r="P171">
            <v>99000</v>
          </cell>
        </row>
        <row r="172">
          <cell r="A172">
            <v>2</v>
          </cell>
          <cell r="B172" t="str">
            <v xml:space="preserve">    3/C 5.5 sq.mm </v>
          </cell>
          <cell r="C172">
            <v>4000</v>
          </cell>
          <cell r="D172" t="str">
            <v>M</v>
          </cell>
          <cell r="E172">
            <v>20</v>
          </cell>
          <cell r="F172">
            <v>80000</v>
          </cell>
          <cell r="H172">
            <v>0</v>
          </cell>
          <cell r="I172">
            <v>0.1</v>
          </cell>
          <cell r="J172">
            <v>400</v>
          </cell>
          <cell r="K172">
            <v>20</v>
          </cell>
          <cell r="L172">
            <v>80000</v>
          </cell>
          <cell r="M172">
            <v>0</v>
          </cell>
          <cell r="N172">
            <v>0</v>
          </cell>
          <cell r="O172">
            <v>28</v>
          </cell>
          <cell r="P172">
            <v>112000</v>
          </cell>
        </row>
        <row r="173">
          <cell r="A173">
            <v>3</v>
          </cell>
          <cell r="B173" t="str">
            <v xml:space="preserve">    3/C   8 sq.mm </v>
          </cell>
          <cell r="C173">
            <v>3000</v>
          </cell>
          <cell r="D173" t="str">
            <v>M</v>
          </cell>
          <cell r="E173">
            <v>29</v>
          </cell>
          <cell r="F173">
            <v>87000</v>
          </cell>
          <cell r="H173">
            <v>0</v>
          </cell>
          <cell r="I173">
            <v>0.11799999999999999</v>
          </cell>
          <cell r="J173">
            <v>354</v>
          </cell>
          <cell r="K173">
            <v>29</v>
          </cell>
          <cell r="L173">
            <v>87000</v>
          </cell>
          <cell r="M173">
            <v>0</v>
          </cell>
          <cell r="N173">
            <v>0</v>
          </cell>
          <cell r="O173">
            <v>33</v>
          </cell>
          <cell r="P173">
            <v>99000</v>
          </cell>
        </row>
        <row r="174">
          <cell r="A174">
            <v>4</v>
          </cell>
          <cell r="B174" t="str">
            <v xml:space="preserve">    3/C  14 sq.mm </v>
          </cell>
          <cell r="C174">
            <v>1000</v>
          </cell>
          <cell r="D174" t="str">
            <v>M</v>
          </cell>
          <cell r="E174">
            <v>47</v>
          </cell>
          <cell r="F174">
            <v>47000</v>
          </cell>
          <cell r="H174">
            <v>0</v>
          </cell>
          <cell r="I174">
            <v>0.152</v>
          </cell>
          <cell r="J174">
            <v>152</v>
          </cell>
          <cell r="K174">
            <v>47</v>
          </cell>
          <cell r="L174">
            <v>47000</v>
          </cell>
          <cell r="M174">
            <v>0</v>
          </cell>
          <cell r="N174">
            <v>0</v>
          </cell>
          <cell r="O174">
            <v>43</v>
          </cell>
          <cell r="P174">
            <v>43000</v>
          </cell>
        </row>
        <row r="175">
          <cell r="A175">
            <v>5</v>
          </cell>
          <cell r="B175" t="str">
            <v xml:space="preserve">    3/C  22 sq.mm </v>
          </cell>
          <cell r="C175">
            <v>3000</v>
          </cell>
          <cell r="D175" t="str">
            <v>M</v>
          </cell>
          <cell r="E175">
            <v>70</v>
          </cell>
          <cell r="F175">
            <v>210000</v>
          </cell>
          <cell r="H175">
            <v>0</v>
          </cell>
          <cell r="I175">
            <v>0.18099999999999999</v>
          </cell>
          <cell r="J175">
            <v>543</v>
          </cell>
          <cell r="K175">
            <v>70</v>
          </cell>
          <cell r="L175">
            <v>210000</v>
          </cell>
          <cell r="M175">
            <v>0</v>
          </cell>
          <cell r="N175">
            <v>0</v>
          </cell>
          <cell r="O175">
            <v>51</v>
          </cell>
          <cell r="P175">
            <v>153000</v>
          </cell>
        </row>
        <row r="176">
          <cell r="A176">
            <v>6</v>
          </cell>
          <cell r="B176" t="str">
            <v xml:space="preserve">    3/C  38 sq.mm </v>
          </cell>
          <cell r="C176">
            <v>3000</v>
          </cell>
          <cell r="D176" t="str">
            <v>M</v>
          </cell>
          <cell r="E176">
            <v>111</v>
          </cell>
          <cell r="F176">
            <v>333000</v>
          </cell>
          <cell r="H176">
            <v>0</v>
          </cell>
          <cell r="I176">
            <v>0.23</v>
          </cell>
          <cell r="J176">
            <v>690</v>
          </cell>
          <cell r="K176">
            <v>111</v>
          </cell>
          <cell r="L176">
            <v>333000</v>
          </cell>
          <cell r="M176">
            <v>0</v>
          </cell>
          <cell r="N176">
            <v>0</v>
          </cell>
          <cell r="O176">
            <v>64</v>
          </cell>
          <cell r="P176">
            <v>192000</v>
          </cell>
        </row>
        <row r="177">
          <cell r="A177">
            <v>7</v>
          </cell>
          <cell r="B177" t="str">
            <v xml:space="preserve">    3/C  60 sq.mm </v>
          </cell>
          <cell r="C177">
            <v>7200</v>
          </cell>
          <cell r="D177" t="str">
            <v>M</v>
          </cell>
          <cell r="E177">
            <v>177</v>
          </cell>
          <cell r="F177">
            <v>1274400</v>
          </cell>
          <cell r="H177">
            <v>0</v>
          </cell>
          <cell r="I177">
            <v>0.27700000000000002</v>
          </cell>
          <cell r="J177">
            <v>1994</v>
          </cell>
          <cell r="K177">
            <v>177</v>
          </cell>
          <cell r="L177">
            <v>1274400</v>
          </cell>
          <cell r="M177">
            <v>0</v>
          </cell>
          <cell r="N177">
            <v>0</v>
          </cell>
          <cell r="O177">
            <v>78</v>
          </cell>
          <cell r="P177">
            <v>561600</v>
          </cell>
        </row>
        <row r="178">
          <cell r="A178">
            <v>8</v>
          </cell>
          <cell r="B178" t="str">
            <v xml:space="preserve">    1/C 100 sq.mm </v>
          </cell>
          <cell r="C178">
            <v>2000</v>
          </cell>
          <cell r="D178" t="str">
            <v>M</v>
          </cell>
          <cell r="E178">
            <v>92</v>
          </cell>
          <cell r="F178">
            <v>184000</v>
          </cell>
          <cell r="H178">
            <v>0</v>
          </cell>
          <cell r="I178">
            <v>0.17599999999999999</v>
          </cell>
          <cell r="J178">
            <v>352</v>
          </cell>
          <cell r="K178">
            <v>92</v>
          </cell>
          <cell r="L178">
            <v>184000</v>
          </cell>
          <cell r="M178">
            <v>0</v>
          </cell>
          <cell r="N178">
            <v>0</v>
          </cell>
          <cell r="O178">
            <v>49</v>
          </cell>
          <cell r="P178">
            <v>98000</v>
          </cell>
        </row>
        <row r="179">
          <cell r="A179">
            <v>9</v>
          </cell>
          <cell r="B179" t="str">
            <v xml:space="preserve">    1/C 150 sq.mm </v>
          </cell>
          <cell r="C179">
            <v>16500</v>
          </cell>
          <cell r="D179" t="str">
            <v>M</v>
          </cell>
          <cell r="E179">
            <v>137</v>
          </cell>
          <cell r="F179">
            <v>2260500</v>
          </cell>
          <cell r="H179">
            <v>0</v>
          </cell>
          <cell r="I179">
            <v>0.20499999999999999</v>
          </cell>
          <cell r="J179">
            <v>3383</v>
          </cell>
          <cell r="K179">
            <v>137</v>
          </cell>
          <cell r="L179">
            <v>2260500</v>
          </cell>
          <cell r="M179">
            <v>0</v>
          </cell>
          <cell r="N179">
            <v>0</v>
          </cell>
          <cell r="O179">
            <v>57</v>
          </cell>
          <cell r="P179">
            <v>940500</v>
          </cell>
        </row>
        <row r="180">
          <cell r="A180">
            <v>10</v>
          </cell>
          <cell r="B180" t="str">
            <v xml:space="preserve">    1/C 250 sq.mm </v>
          </cell>
          <cell r="C180">
            <v>15000</v>
          </cell>
          <cell r="D180" t="str">
            <v>M</v>
          </cell>
          <cell r="E180">
            <v>223</v>
          </cell>
          <cell r="F180">
            <v>3345000</v>
          </cell>
          <cell r="H180">
            <v>0</v>
          </cell>
          <cell r="I180">
            <v>0.247</v>
          </cell>
          <cell r="J180">
            <v>3705</v>
          </cell>
          <cell r="K180">
            <v>223</v>
          </cell>
          <cell r="L180">
            <v>3345000</v>
          </cell>
          <cell r="M180">
            <v>0</v>
          </cell>
          <cell r="N180">
            <v>0</v>
          </cell>
          <cell r="O180">
            <v>69</v>
          </cell>
          <cell r="P180">
            <v>1035000</v>
          </cell>
        </row>
        <row r="181">
          <cell r="A181">
            <v>11</v>
          </cell>
          <cell r="B181" t="str">
            <v xml:space="preserve">    1/C 325 sq.mm </v>
          </cell>
          <cell r="C181">
            <v>16500</v>
          </cell>
          <cell r="D181" t="str">
            <v>M</v>
          </cell>
          <cell r="E181">
            <v>279</v>
          </cell>
          <cell r="F181">
            <v>4603500</v>
          </cell>
          <cell r="H181">
            <v>0</v>
          </cell>
          <cell r="I181">
            <v>0.27</v>
          </cell>
          <cell r="J181">
            <v>4455</v>
          </cell>
          <cell r="K181">
            <v>279</v>
          </cell>
          <cell r="L181">
            <v>4603500</v>
          </cell>
          <cell r="M181">
            <v>0</v>
          </cell>
          <cell r="N181">
            <v>0</v>
          </cell>
          <cell r="O181">
            <v>76</v>
          </cell>
          <cell r="P181">
            <v>1254000</v>
          </cell>
        </row>
        <row r="182">
          <cell r="A182">
            <v>12</v>
          </cell>
          <cell r="B182" t="str">
            <v xml:space="preserve">    4/C 5.5 sq.mm </v>
          </cell>
          <cell r="C182">
            <v>300</v>
          </cell>
          <cell r="D182" t="str">
            <v>M</v>
          </cell>
          <cell r="E182">
            <v>28</v>
          </cell>
          <cell r="F182">
            <v>8400</v>
          </cell>
          <cell r="H182">
            <v>0</v>
          </cell>
          <cell r="I182">
            <v>0.11700000000000001</v>
          </cell>
          <cell r="J182">
            <v>35</v>
          </cell>
          <cell r="K182">
            <v>28</v>
          </cell>
          <cell r="L182">
            <v>8400</v>
          </cell>
          <cell r="M182">
            <v>0</v>
          </cell>
          <cell r="N182">
            <v>0</v>
          </cell>
          <cell r="O182">
            <v>33</v>
          </cell>
          <cell r="P182">
            <v>9900</v>
          </cell>
        </row>
        <row r="183">
          <cell r="A183">
            <v>13</v>
          </cell>
          <cell r="B183" t="str">
            <v xml:space="preserve">    4/C 60 sq.mm </v>
          </cell>
          <cell r="C183">
            <v>300</v>
          </cell>
          <cell r="D183" t="str">
            <v>M</v>
          </cell>
          <cell r="E183">
            <v>232</v>
          </cell>
          <cell r="F183">
            <v>69600</v>
          </cell>
          <cell r="H183">
            <v>0</v>
          </cell>
          <cell r="I183">
            <v>0.32500000000000001</v>
          </cell>
          <cell r="J183">
            <v>98</v>
          </cell>
          <cell r="K183">
            <v>232</v>
          </cell>
          <cell r="L183">
            <v>69600</v>
          </cell>
          <cell r="M183">
            <v>0</v>
          </cell>
          <cell r="N183">
            <v>0</v>
          </cell>
          <cell r="O183">
            <v>91</v>
          </cell>
          <cell r="P183">
            <v>27300</v>
          </cell>
        </row>
        <row r="184">
          <cell r="E184">
            <v>0</v>
          </cell>
          <cell r="F184">
            <v>0</v>
          </cell>
          <cell r="H184">
            <v>0</v>
          </cell>
          <cell r="I184">
            <v>0</v>
          </cell>
          <cell r="J184">
            <v>0</v>
          </cell>
          <cell r="K184">
            <v>0</v>
          </cell>
          <cell r="L184">
            <v>0</v>
          </cell>
          <cell r="M184">
            <v>0</v>
          </cell>
          <cell r="N184">
            <v>0</v>
          </cell>
          <cell r="O184">
            <v>0</v>
          </cell>
          <cell r="P184">
            <v>0</v>
          </cell>
        </row>
        <row r="185">
          <cell r="B185" t="str">
            <v xml:space="preserve"> 600V CONTROL CABLE, PVC INSU. PVC JACKET</v>
          </cell>
          <cell r="E185">
            <v>0</v>
          </cell>
          <cell r="F185">
            <v>0</v>
          </cell>
          <cell r="H185">
            <v>0</v>
          </cell>
          <cell r="I185">
            <v>0</v>
          </cell>
          <cell r="J185">
            <v>0</v>
          </cell>
          <cell r="K185">
            <v>0</v>
          </cell>
          <cell r="L185">
            <v>0</v>
          </cell>
          <cell r="M185">
            <v>0</v>
          </cell>
          <cell r="N185">
            <v>0</v>
          </cell>
          <cell r="O185">
            <v>0</v>
          </cell>
          <cell r="P185">
            <v>0</v>
          </cell>
        </row>
        <row r="186">
          <cell r="A186">
            <v>14</v>
          </cell>
          <cell r="B186" t="str">
            <v xml:space="preserve">    4/C 2.0 sq.mm </v>
          </cell>
          <cell r="C186">
            <v>13000</v>
          </cell>
          <cell r="D186" t="str">
            <v>M</v>
          </cell>
          <cell r="E186">
            <v>11</v>
          </cell>
          <cell r="F186">
            <v>143000</v>
          </cell>
          <cell r="H186">
            <v>0</v>
          </cell>
          <cell r="I186">
            <v>0.08</v>
          </cell>
          <cell r="J186">
            <v>1040</v>
          </cell>
          <cell r="K186">
            <v>11</v>
          </cell>
          <cell r="L186">
            <v>143000</v>
          </cell>
          <cell r="M186">
            <v>0</v>
          </cell>
          <cell r="N186">
            <v>0</v>
          </cell>
          <cell r="O186">
            <v>22</v>
          </cell>
          <cell r="P186">
            <v>286000</v>
          </cell>
        </row>
        <row r="187">
          <cell r="A187">
            <v>15</v>
          </cell>
          <cell r="B187" t="str">
            <v xml:space="preserve">    7/C 2.0 sq.mm </v>
          </cell>
          <cell r="C187">
            <v>6400</v>
          </cell>
          <cell r="D187" t="str">
            <v>M</v>
          </cell>
          <cell r="E187">
            <v>24</v>
          </cell>
          <cell r="F187">
            <v>153600</v>
          </cell>
          <cell r="H187">
            <v>0</v>
          </cell>
          <cell r="I187">
            <v>0.105</v>
          </cell>
          <cell r="J187">
            <v>672</v>
          </cell>
          <cell r="K187">
            <v>24</v>
          </cell>
          <cell r="L187">
            <v>153600</v>
          </cell>
          <cell r="M187">
            <v>0</v>
          </cell>
          <cell r="N187">
            <v>0</v>
          </cell>
          <cell r="O187">
            <v>29</v>
          </cell>
          <cell r="P187">
            <v>185600</v>
          </cell>
        </row>
        <row r="188">
          <cell r="A188">
            <v>16</v>
          </cell>
          <cell r="B188" t="str">
            <v xml:space="preserve">    9/C 2.0 sq.mm </v>
          </cell>
          <cell r="C188">
            <v>4000</v>
          </cell>
          <cell r="D188" t="str">
            <v>M</v>
          </cell>
          <cell r="E188">
            <v>30</v>
          </cell>
          <cell r="F188">
            <v>120000</v>
          </cell>
          <cell r="H188">
            <v>0</v>
          </cell>
          <cell r="I188">
            <v>0.12</v>
          </cell>
          <cell r="J188">
            <v>480</v>
          </cell>
          <cell r="K188">
            <v>30</v>
          </cell>
          <cell r="L188">
            <v>120000</v>
          </cell>
          <cell r="M188">
            <v>0</v>
          </cell>
          <cell r="N188">
            <v>0</v>
          </cell>
          <cell r="O188">
            <v>34</v>
          </cell>
          <cell r="P188">
            <v>136000</v>
          </cell>
        </row>
        <row r="189">
          <cell r="A189">
            <v>17</v>
          </cell>
          <cell r="B189" t="str">
            <v xml:space="preserve">   12/C 2.0 sq.mm </v>
          </cell>
          <cell r="C189">
            <v>2500</v>
          </cell>
          <cell r="D189" t="str">
            <v>M</v>
          </cell>
          <cell r="E189">
            <v>38</v>
          </cell>
          <cell r="F189">
            <v>95000</v>
          </cell>
          <cell r="H189">
            <v>0</v>
          </cell>
          <cell r="I189">
            <v>0.13800000000000001</v>
          </cell>
          <cell r="J189">
            <v>345</v>
          </cell>
          <cell r="K189">
            <v>38</v>
          </cell>
          <cell r="L189">
            <v>95000</v>
          </cell>
          <cell r="M189">
            <v>0</v>
          </cell>
          <cell r="N189">
            <v>0</v>
          </cell>
          <cell r="O189">
            <v>39</v>
          </cell>
          <cell r="P189">
            <v>97500</v>
          </cell>
        </row>
        <row r="190">
          <cell r="A190">
            <v>18</v>
          </cell>
          <cell r="B190" t="str">
            <v xml:space="preserve">   19/C 2.0 sq.mm </v>
          </cell>
          <cell r="C190">
            <v>1950</v>
          </cell>
          <cell r="D190" t="str">
            <v>M</v>
          </cell>
          <cell r="E190">
            <v>57</v>
          </cell>
          <cell r="F190">
            <v>111150</v>
          </cell>
          <cell r="H190">
            <v>0</v>
          </cell>
          <cell r="I190">
            <v>0.17399999999999999</v>
          </cell>
          <cell r="J190">
            <v>339</v>
          </cell>
          <cell r="K190">
            <v>57</v>
          </cell>
          <cell r="L190">
            <v>111150</v>
          </cell>
          <cell r="M190">
            <v>0</v>
          </cell>
          <cell r="N190">
            <v>0</v>
          </cell>
          <cell r="O190">
            <v>49</v>
          </cell>
          <cell r="P190">
            <v>95550</v>
          </cell>
        </row>
        <row r="191">
          <cell r="A191">
            <v>19</v>
          </cell>
          <cell r="B191" t="str">
            <v xml:space="preserve">   30/C 2.0 sq.mm </v>
          </cell>
          <cell r="C191">
            <v>1900</v>
          </cell>
          <cell r="D191" t="str">
            <v>M</v>
          </cell>
          <cell r="E191">
            <v>92</v>
          </cell>
          <cell r="F191">
            <v>174800</v>
          </cell>
          <cell r="H191">
            <v>0</v>
          </cell>
          <cell r="I191">
            <v>0.21199999999999999</v>
          </cell>
          <cell r="J191">
            <v>403</v>
          </cell>
          <cell r="K191">
            <v>92</v>
          </cell>
          <cell r="L191">
            <v>174800</v>
          </cell>
          <cell r="M191">
            <v>0</v>
          </cell>
          <cell r="N191">
            <v>0</v>
          </cell>
          <cell r="O191">
            <v>59</v>
          </cell>
          <cell r="P191">
            <v>112100</v>
          </cell>
        </row>
        <row r="192">
          <cell r="A192">
            <v>20</v>
          </cell>
          <cell r="B192" t="str">
            <v>600V SHIELDED CABLE, 8P-#14AWG</v>
          </cell>
          <cell r="C192">
            <v>300</v>
          </cell>
          <cell r="D192" t="str">
            <v>M</v>
          </cell>
          <cell r="E192">
            <v>83</v>
          </cell>
          <cell r="F192">
            <v>24900</v>
          </cell>
          <cell r="H192">
            <v>0</v>
          </cell>
          <cell r="I192">
            <v>0.16</v>
          </cell>
          <cell r="J192">
            <v>48</v>
          </cell>
          <cell r="K192">
            <v>83</v>
          </cell>
          <cell r="L192">
            <v>24900</v>
          </cell>
          <cell r="M192">
            <v>0</v>
          </cell>
          <cell r="N192">
            <v>0</v>
          </cell>
          <cell r="O192">
            <v>45</v>
          </cell>
          <cell r="P192">
            <v>13500</v>
          </cell>
        </row>
        <row r="193">
          <cell r="E193">
            <v>0</v>
          </cell>
          <cell r="F193">
            <v>0</v>
          </cell>
          <cell r="H193">
            <v>0</v>
          </cell>
          <cell r="I193">
            <v>0</v>
          </cell>
          <cell r="J193">
            <v>0</v>
          </cell>
          <cell r="K193">
            <v>0</v>
          </cell>
          <cell r="L193">
            <v>0</v>
          </cell>
          <cell r="M193">
            <v>0</v>
          </cell>
          <cell r="N193">
            <v>0</v>
          </cell>
          <cell r="O193">
            <v>0</v>
          </cell>
          <cell r="P193">
            <v>0</v>
          </cell>
        </row>
        <row r="194">
          <cell r="B194" t="str">
            <v>8KV POWER CABLE, XLPE INSU. PVC JACKET</v>
          </cell>
          <cell r="E194">
            <v>0</v>
          </cell>
          <cell r="F194">
            <v>0</v>
          </cell>
          <cell r="H194">
            <v>0</v>
          </cell>
          <cell r="I194">
            <v>0</v>
          </cell>
          <cell r="J194">
            <v>0</v>
          </cell>
          <cell r="K194">
            <v>0</v>
          </cell>
          <cell r="L194">
            <v>0</v>
          </cell>
          <cell r="M194">
            <v>0</v>
          </cell>
          <cell r="N194">
            <v>0</v>
          </cell>
          <cell r="O194">
            <v>0</v>
          </cell>
          <cell r="P194">
            <v>0</v>
          </cell>
        </row>
        <row r="195">
          <cell r="A195">
            <v>21</v>
          </cell>
          <cell r="B195" t="str">
            <v xml:space="preserve">    3/C  38 sq.mm </v>
          </cell>
          <cell r="C195">
            <v>880</v>
          </cell>
          <cell r="D195" t="str">
            <v>M</v>
          </cell>
          <cell r="E195">
            <v>268</v>
          </cell>
          <cell r="F195">
            <v>235840</v>
          </cell>
          <cell r="H195">
            <v>0</v>
          </cell>
          <cell r="I195">
            <v>0.32100000000000001</v>
          </cell>
          <cell r="J195">
            <v>282</v>
          </cell>
          <cell r="K195">
            <v>268</v>
          </cell>
          <cell r="L195">
            <v>235840</v>
          </cell>
          <cell r="M195">
            <v>0</v>
          </cell>
          <cell r="N195">
            <v>0</v>
          </cell>
          <cell r="O195">
            <v>90</v>
          </cell>
          <cell r="P195">
            <v>79200</v>
          </cell>
        </row>
        <row r="196">
          <cell r="A196">
            <v>22</v>
          </cell>
          <cell r="B196" t="str">
            <v xml:space="preserve">    3/C  60 sq.mm </v>
          </cell>
          <cell r="C196">
            <v>200</v>
          </cell>
          <cell r="D196" t="str">
            <v>M</v>
          </cell>
          <cell r="E196">
            <v>367</v>
          </cell>
          <cell r="F196">
            <v>73400</v>
          </cell>
          <cell r="H196">
            <v>0</v>
          </cell>
          <cell r="I196">
            <v>0.38800000000000001</v>
          </cell>
          <cell r="J196">
            <v>78</v>
          </cell>
          <cell r="K196">
            <v>367</v>
          </cell>
          <cell r="L196">
            <v>73400</v>
          </cell>
          <cell r="M196">
            <v>0</v>
          </cell>
          <cell r="N196">
            <v>0</v>
          </cell>
          <cell r="O196">
            <v>109</v>
          </cell>
          <cell r="P196">
            <v>21800</v>
          </cell>
        </row>
        <row r="197">
          <cell r="A197">
            <v>23</v>
          </cell>
          <cell r="B197" t="str">
            <v xml:space="preserve">    1/C 100 sq.mm </v>
          </cell>
          <cell r="C197">
            <v>4800</v>
          </cell>
          <cell r="D197" t="str">
            <v>M</v>
          </cell>
          <cell r="E197">
            <v>148</v>
          </cell>
          <cell r="F197">
            <v>710400</v>
          </cell>
          <cell r="H197">
            <v>0</v>
          </cell>
          <cell r="I197">
            <v>0.22500000000000001</v>
          </cell>
          <cell r="J197">
            <v>1080</v>
          </cell>
          <cell r="K197">
            <v>148</v>
          </cell>
          <cell r="L197">
            <v>710400</v>
          </cell>
          <cell r="M197">
            <v>0</v>
          </cell>
          <cell r="N197">
            <v>0</v>
          </cell>
          <cell r="O197">
            <v>63</v>
          </cell>
          <cell r="P197">
            <v>302400</v>
          </cell>
        </row>
        <row r="198">
          <cell r="A198">
            <v>24</v>
          </cell>
          <cell r="B198" t="str">
            <v xml:space="preserve">    1/C 200 sq.mm </v>
          </cell>
          <cell r="C198">
            <v>1000</v>
          </cell>
          <cell r="D198" t="str">
            <v>M</v>
          </cell>
          <cell r="E198">
            <v>246</v>
          </cell>
          <cell r="F198">
            <v>246000</v>
          </cell>
          <cell r="H198">
            <v>0</v>
          </cell>
          <cell r="I198">
            <v>0.28699999999999998</v>
          </cell>
          <cell r="J198">
            <v>287</v>
          </cell>
          <cell r="K198">
            <v>246</v>
          </cell>
          <cell r="L198">
            <v>246000</v>
          </cell>
          <cell r="M198">
            <v>0</v>
          </cell>
          <cell r="N198">
            <v>0</v>
          </cell>
          <cell r="O198">
            <v>80</v>
          </cell>
          <cell r="P198">
            <v>80000</v>
          </cell>
        </row>
        <row r="199">
          <cell r="A199">
            <v>25</v>
          </cell>
          <cell r="B199" t="str">
            <v xml:space="preserve">    1/C 250 sq.mm </v>
          </cell>
          <cell r="C199">
            <v>17500</v>
          </cell>
          <cell r="D199" t="str">
            <v>M</v>
          </cell>
          <cell r="E199">
            <v>306</v>
          </cell>
          <cell r="F199">
            <v>5355000</v>
          </cell>
          <cell r="H199">
            <v>0</v>
          </cell>
          <cell r="I199">
            <v>0.27400000000000002</v>
          </cell>
          <cell r="J199">
            <v>4795</v>
          </cell>
          <cell r="K199">
            <v>306</v>
          </cell>
          <cell r="L199">
            <v>5355000</v>
          </cell>
          <cell r="M199">
            <v>0</v>
          </cell>
          <cell r="N199">
            <v>0</v>
          </cell>
          <cell r="O199">
            <v>77</v>
          </cell>
          <cell r="P199">
            <v>1347500</v>
          </cell>
        </row>
        <row r="200">
          <cell r="F200">
            <v>0</v>
          </cell>
          <cell r="H200">
            <v>0</v>
          </cell>
          <cell r="J200">
            <v>0</v>
          </cell>
          <cell r="K200">
            <v>0</v>
          </cell>
          <cell r="L200">
            <v>0</v>
          </cell>
          <cell r="M200">
            <v>0</v>
          </cell>
          <cell r="N200">
            <v>0</v>
          </cell>
          <cell r="O200">
            <v>0</v>
          </cell>
          <cell r="P200">
            <v>0</v>
          </cell>
        </row>
        <row r="201">
          <cell r="B201" t="str">
            <v>8KV TERMINATION KIT, HEAT SHRINKABLE TYPE</v>
          </cell>
          <cell r="F201">
            <v>0</v>
          </cell>
          <cell r="H201">
            <v>0</v>
          </cell>
          <cell r="J201">
            <v>0</v>
          </cell>
          <cell r="K201">
            <v>0</v>
          </cell>
          <cell r="L201">
            <v>0</v>
          </cell>
          <cell r="M201">
            <v>0</v>
          </cell>
          <cell r="N201">
            <v>0</v>
          </cell>
          <cell r="O201">
            <v>0</v>
          </cell>
          <cell r="P201">
            <v>0</v>
          </cell>
        </row>
        <row r="202">
          <cell r="A202">
            <v>26</v>
          </cell>
          <cell r="B202" t="str">
            <v xml:space="preserve">    3/C  38 sq.mm </v>
          </cell>
          <cell r="C202">
            <v>8</v>
          </cell>
          <cell r="D202" t="str">
            <v>SET</v>
          </cell>
          <cell r="E202">
            <v>4330</v>
          </cell>
          <cell r="F202">
            <v>34640</v>
          </cell>
          <cell r="H202">
            <v>0</v>
          </cell>
          <cell r="I202">
            <v>5</v>
          </cell>
          <cell r="J202">
            <v>40</v>
          </cell>
          <cell r="K202">
            <v>4330</v>
          </cell>
          <cell r="L202">
            <v>34640</v>
          </cell>
          <cell r="M202">
            <v>0</v>
          </cell>
          <cell r="N202">
            <v>0</v>
          </cell>
          <cell r="O202">
            <v>1400</v>
          </cell>
          <cell r="P202">
            <v>11200</v>
          </cell>
        </row>
        <row r="203">
          <cell r="A203">
            <v>27</v>
          </cell>
          <cell r="B203" t="str">
            <v xml:space="preserve">    3/C  60 sq.mm </v>
          </cell>
          <cell r="C203">
            <v>10</v>
          </cell>
          <cell r="D203" t="str">
            <v>SET</v>
          </cell>
          <cell r="E203">
            <v>4330</v>
          </cell>
          <cell r="F203">
            <v>43300</v>
          </cell>
          <cell r="H203">
            <v>0</v>
          </cell>
          <cell r="I203">
            <v>6</v>
          </cell>
          <cell r="J203">
            <v>60</v>
          </cell>
          <cell r="K203">
            <v>4330</v>
          </cell>
          <cell r="L203">
            <v>43300</v>
          </cell>
          <cell r="M203">
            <v>0</v>
          </cell>
          <cell r="N203">
            <v>0</v>
          </cell>
          <cell r="O203">
            <v>1680</v>
          </cell>
          <cell r="P203">
            <v>16800</v>
          </cell>
        </row>
        <row r="204">
          <cell r="A204">
            <v>28</v>
          </cell>
          <cell r="B204" t="str">
            <v xml:space="preserve">   1/C 100 sq.mm </v>
          </cell>
          <cell r="C204">
            <v>30</v>
          </cell>
          <cell r="D204" t="str">
            <v>SET</v>
          </cell>
          <cell r="E204">
            <v>1170</v>
          </cell>
          <cell r="F204">
            <v>35100</v>
          </cell>
          <cell r="H204">
            <v>0</v>
          </cell>
          <cell r="I204">
            <v>3.5</v>
          </cell>
          <cell r="J204">
            <v>105</v>
          </cell>
          <cell r="K204">
            <v>1170</v>
          </cell>
          <cell r="L204">
            <v>35100</v>
          </cell>
          <cell r="M204">
            <v>0</v>
          </cell>
          <cell r="N204">
            <v>0</v>
          </cell>
          <cell r="O204">
            <v>980</v>
          </cell>
          <cell r="P204">
            <v>29400</v>
          </cell>
        </row>
        <row r="205">
          <cell r="A205">
            <v>29</v>
          </cell>
          <cell r="B205" t="str">
            <v xml:space="preserve">    1/C 200 sq.mm </v>
          </cell>
          <cell r="C205">
            <v>9</v>
          </cell>
          <cell r="D205" t="str">
            <v>SET</v>
          </cell>
          <cell r="E205">
            <v>1550</v>
          </cell>
          <cell r="F205">
            <v>13950</v>
          </cell>
          <cell r="H205">
            <v>0</v>
          </cell>
          <cell r="I205">
            <v>4.5</v>
          </cell>
          <cell r="J205">
            <v>41</v>
          </cell>
          <cell r="K205">
            <v>1550</v>
          </cell>
          <cell r="L205">
            <v>13950</v>
          </cell>
          <cell r="M205">
            <v>0</v>
          </cell>
          <cell r="N205">
            <v>0</v>
          </cell>
          <cell r="O205">
            <v>1260</v>
          </cell>
          <cell r="P205">
            <v>11340</v>
          </cell>
        </row>
        <row r="206">
          <cell r="A206">
            <v>30</v>
          </cell>
          <cell r="B206" t="str">
            <v xml:space="preserve">    1/C 250 sq.mm </v>
          </cell>
          <cell r="C206">
            <v>40</v>
          </cell>
          <cell r="D206" t="str">
            <v>SET</v>
          </cell>
          <cell r="E206">
            <v>1585</v>
          </cell>
          <cell r="F206">
            <v>63400</v>
          </cell>
          <cell r="H206">
            <v>0</v>
          </cell>
          <cell r="I206">
            <v>4.5</v>
          </cell>
          <cell r="J206">
            <v>180</v>
          </cell>
          <cell r="K206">
            <v>1585</v>
          </cell>
          <cell r="L206">
            <v>63400</v>
          </cell>
          <cell r="M206">
            <v>0</v>
          </cell>
          <cell r="N206">
            <v>0</v>
          </cell>
          <cell r="O206">
            <v>1260</v>
          </cell>
          <cell r="P206">
            <v>50400</v>
          </cell>
        </row>
        <row r="207">
          <cell r="F207">
            <v>0</v>
          </cell>
          <cell r="H207">
            <v>0</v>
          </cell>
          <cell r="J207">
            <v>0</v>
          </cell>
          <cell r="K207">
            <v>0</v>
          </cell>
          <cell r="L207">
            <v>0</v>
          </cell>
          <cell r="M207">
            <v>0</v>
          </cell>
          <cell r="N207">
            <v>0</v>
          </cell>
          <cell r="O207">
            <v>0</v>
          </cell>
          <cell r="P207">
            <v>0</v>
          </cell>
        </row>
        <row r="208">
          <cell r="B208" t="str">
            <v xml:space="preserve"> RSG CONDUIT WITH COUPLING, THICK WALL</v>
          </cell>
          <cell r="F208">
            <v>0</v>
          </cell>
          <cell r="H208">
            <v>0</v>
          </cell>
          <cell r="J208">
            <v>0</v>
          </cell>
          <cell r="K208">
            <v>0</v>
          </cell>
          <cell r="L208">
            <v>0</v>
          </cell>
          <cell r="M208">
            <v>0</v>
          </cell>
          <cell r="N208">
            <v>0</v>
          </cell>
          <cell r="O208">
            <v>0</v>
          </cell>
          <cell r="P208">
            <v>0</v>
          </cell>
        </row>
        <row r="209">
          <cell r="B209" t="str">
            <v xml:space="preserve"> (ANSI C80.1 NPT THREADED)</v>
          </cell>
          <cell r="F209">
            <v>0</v>
          </cell>
          <cell r="H209">
            <v>0</v>
          </cell>
          <cell r="J209">
            <v>0</v>
          </cell>
          <cell r="K209">
            <v>0</v>
          </cell>
          <cell r="L209">
            <v>0</v>
          </cell>
          <cell r="M209">
            <v>0</v>
          </cell>
          <cell r="N209">
            <v>0</v>
          </cell>
          <cell r="O209">
            <v>0</v>
          </cell>
          <cell r="P209">
            <v>0</v>
          </cell>
        </row>
        <row r="210">
          <cell r="A210">
            <v>31</v>
          </cell>
          <cell r="B210" t="str">
            <v xml:space="preserve">     1"</v>
          </cell>
          <cell r="C210">
            <v>800</v>
          </cell>
          <cell r="D210" t="str">
            <v>M</v>
          </cell>
          <cell r="E210">
            <v>49</v>
          </cell>
          <cell r="F210">
            <v>39200</v>
          </cell>
          <cell r="H210">
            <v>0</v>
          </cell>
          <cell r="I210">
            <v>0.54</v>
          </cell>
          <cell r="J210">
            <v>432</v>
          </cell>
          <cell r="K210">
            <v>49</v>
          </cell>
          <cell r="L210">
            <v>39200</v>
          </cell>
          <cell r="M210">
            <v>0</v>
          </cell>
          <cell r="N210">
            <v>0</v>
          </cell>
          <cell r="O210">
            <v>151</v>
          </cell>
          <cell r="P210">
            <v>120800</v>
          </cell>
        </row>
        <row r="211">
          <cell r="A211">
            <v>32</v>
          </cell>
          <cell r="B211" t="str">
            <v xml:space="preserve">     2"</v>
          </cell>
          <cell r="C211">
            <v>1000</v>
          </cell>
          <cell r="D211" t="str">
            <v>M</v>
          </cell>
          <cell r="E211">
            <v>105</v>
          </cell>
          <cell r="F211">
            <v>105000</v>
          </cell>
          <cell r="H211">
            <v>0</v>
          </cell>
          <cell r="I211">
            <v>0.98</v>
          </cell>
          <cell r="J211">
            <v>980</v>
          </cell>
          <cell r="K211">
            <v>105</v>
          </cell>
          <cell r="L211">
            <v>105000</v>
          </cell>
          <cell r="M211">
            <v>0</v>
          </cell>
          <cell r="N211">
            <v>0</v>
          </cell>
          <cell r="O211">
            <v>274</v>
          </cell>
          <cell r="P211">
            <v>274000</v>
          </cell>
        </row>
        <row r="212">
          <cell r="A212">
            <v>33</v>
          </cell>
          <cell r="B212" t="str">
            <v xml:space="preserve">     4"</v>
          </cell>
          <cell r="C212">
            <v>350</v>
          </cell>
          <cell r="D212" t="str">
            <v>M</v>
          </cell>
          <cell r="E212">
            <v>343</v>
          </cell>
          <cell r="F212">
            <v>120050</v>
          </cell>
          <cell r="H212">
            <v>0</v>
          </cell>
          <cell r="I212">
            <v>1.85</v>
          </cell>
          <cell r="J212">
            <v>648</v>
          </cell>
          <cell r="K212">
            <v>343</v>
          </cell>
          <cell r="L212">
            <v>120050</v>
          </cell>
          <cell r="M212">
            <v>0</v>
          </cell>
          <cell r="N212">
            <v>0</v>
          </cell>
          <cell r="O212">
            <v>518</v>
          </cell>
          <cell r="P212">
            <v>181300</v>
          </cell>
        </row>
        <row r="213">
          <cell r="A213">
            <v>34</v>
          </cell>
          <cell r="B213" t="str">
            <v xml:space="preserve">     6"</v>
          </cell>
          <cell r="C213">
            <v>50</v>
          </cell>
          <cell r="D213" t="str">
            <v>M</v>
          </cell>
          <cell r="E213">
            <v>840</v>
          </cell>
          <cell r="F213">
            <v>42000</v>
          </cell>
          <cell r="H213">
            <v>0</v>
          </cell>
          <cell r="I213">
            <v>2.72</v>
          </cell>
          <cell r="J213">
            <v>136</v>
          </cell>
          <cell r="K213">
            <v>840</v>
          </cell>
          <cell r="L213">
            <v>42000</v>
          </cell>
          <cell r="M213">
            <v>0</v>
          </cell>
          <cell r="N213">
            <v>0</v>
          </cell>
          <cell r="O213">
            <v>762</v>
          </cell>
          <cell r="P213">
            <v>38100</v>
          </cell>
        </row>
        <row r="214">
          <cell r="E214" t="str">
            <v xml:space="preserve"> </v>
          </cell>
          <cell r="F214">
            <v>0</v>
          </cell>
          <cell r="H214">
            <v>0</v>
          </cell>
          <cell r="J214">
            <v>0</v>
          </cell>
          <cell r="K214">
            <v>0</v>
          </cell>
          <cell r="L214">
            <v>0</v>
          </cell>
          <cell r="M214">
            <v>0</v>
          </cell>
          <cell r="N214">
            <v>0</v>
          </cell>
          <cell r="O214">
            <v>0</v>
          </cell>
          <cell r="P214">
            <v>0</v>
          </cell>
        </row>
        <row r="215">
          <cell r="B215" t="str">
            <v xml:space="preserve"> FLEXIBLE CONDUIT, LIQUID-TIGHT, UA TYPE</v>
          </cell>
          <cell r="F215">
            <v>0</v>
          </cell>
          <cell r="H215">
            <v>0</v>
          </cell>
          <cell r="J215">
            <v>0</v>
          </cell>
          <cell r="K215">
            <v>0</v>
          </cell>
          <cell r="L215">
            <v>0</v>
          </cell>
          <cell r="M215">
            <v>0</v>
          </cell>
          <cell r="N215">
            <v>0</v>
          </cell>
          <cell r="O215">
            <v>0</v>
          </cell>
          <cell r="P215">
            <v>0</v>
          </cell>
        </row>
        <row r="216">
          <cell r="A216">
            <v>35</v>
          </cell>
          <cell r="B216" t="str">
            <v xml:space="preserve">     1", 0.6M LG., W/TWO CONNECTORS</v>
          </cell>
          <cell r="C216">
            <v>20</v>
          </cell>
          <cell r="D216" t="str">
            <v>M</v>
          </cell>
          <cell r="E216">
            <v>191</v>
          </cell>
          <cell r="F216">
            <v>3820</v>
          </cell>
          <cell r="H216">
            <v>0</v>
          </cell>
          <cell r="I216">
            <v>0.64</v>
          </cell>
          <cell r="J216">
            <v>13</v>
          </cell>
          <cell r="K216">
            <v>191</v>
          </cell>
          <cell r="L216">
            <v>3820</v>
          </cell>
          <cell r="M216">
            <v>0</v>
          </cell>
          <cell r="N216">
            <v>0</v>
          </cell>
          <cell r="O216">
            <v>179</v>
          </cell>
          <cell r="P216">
            <v>3580</v>
          </cell>
        </row>
        <row r="217">
          <cell r="A217">
            <v>36</v>
          </cell>
          <cell r="B217" t="str">
            <v xml:space="preserve">    2", 0.6M LG., W/TWO CONNECTORS</v>
          </cell>
          <cell r="C217">
            <v>25</v>
          </cell>
          <cell r="D217" t="str">
            <v>M</v>
          </cell>
          <cell r="E217">
            <v>446</v>
          </cell>
          <cell r="F217">
            <v>11150</v>
          </cell>
          <cell r="H217">
            <v>0</v>
          </cell>
          <cell r="I217">
            <v>1.1599999999999999</v>
          </cell>
          <cell r="J217">
            <v>29</v>
          </cell>
          <cell r="K217">
            <v>446</v>
          </cell>
          <cell r="L217">
            <v>11150</v>
          </cell>
          <cell r="M217">
            <v>0</v>
          </cell>
          <cell r="N217">
            <v>0</v>
          </cell>
          <cell r="O217">
            <v>325</v>
          </cell>
          <cell r="P217">
            <v>8125</v>
          </cell>
        </row>
        <row r="218">
          <cell r="A218">
            <v>37</v>
          </cell>
          <cell r="B218" t="str">
            <v xml:space="preserve">    4", 0.6M LG., W/TWO CONNECTORS</v>
          </cell>
          <cell r="C218">
            <v>20</v>
          </cell>
          <cell r="D218" t="str">
            <v>M</v>
          </cell>
          <cell r="E218">
            <v>1307</v>
          </cell>
          <cell r="F218">
            <v>26140</v>
          </cell>
          <cell r="H218">
            <v>0</v>
          </cell>
          <cell r="I218">
            <v>2.08</v>
          </cell>
          <cell r="J218">
            <v>42</v>
          </cell>
          <cell r="K218">
            <v>1307</v>
          </cell>
          <cell r="L218">
            <v>26140</v>
          </cell>
          <cell r="M218">
            <v>0</v>
          </cell>
          <cell r="N218">
            <v>0</v>
          </cell>
          <cell r="O218">
            <v>582</v>
          </cell>
          <cell r="P218">
            <v>11640</v>
          </cell>
        </row>
        <row r="219">
          <cell r="F219">
            <v>0</v>
          </cell>
          <cell r="H219">
            <v>0</v>
          </cell>
          <cell r="J219">
            <v>0</v>
          </cell>
          <cell r="K219">
            <v>0</v>
          </cell>
          <cell r="L219">
            <v>0</v>
          </cell>
          <cell r="M219">
            <v>0</v>
          </cell>
          <cell r="N219">
            <v>0</v>
          </cell>
          <cell r="O219">
            <v>0</v>
          </cell>
          <cell r="P219">
            <v>0</v>
          </cell>
        </row>
        <row r="220">
          <cell r="A220">
            <v>38</v>
          </cell>
          <cell r="B220" t="str">
            <v xml:space="preserve"> HOT DIPPED GALVANIZED CONDUIT FITTING</v>
          </cell>
          <cell r="C220">
            <v>1</v>
          </cell>
          <cell r="D220" t="str">
            <v>LOT</v>
          </cell>
          <cell r="E220">
            <v>612500</v>
          </cell>
          <cell r="F220">
            <v>612500</v>
          </cell>
          <cell r="H220">
            <v>0</v>
          </cell>
          <cell r="I220">
            <v>658.8</v>
          </cell>
          <cell r="J220">
            <v>659</v>
          </cell>
          <cell r="K220">
            <v>612500</v>
          </cell>
          <cell r="L220">
            <v>612500</v>
          </cell>
          <cell r="M220">
            <v>0</v>
          </cell>
          <cell r="N220">
            <v>0</v>
          </cell>
          <cell r="O220">
            <v>184464</v>
          </cell>
          <cell r="P220">
            <v>184464</v>
          </cell>
        </row>
        <row r="221">
          <cell r="B221" t="str">
            <v xml:space="preserve"> SEALING FITTING, UNION, CLAMP….</v>
          </cell>
          <cell r="F221">
            <v>0</v>
          </cell>
          <cell r="H221">
            <v>0</v>
          </cell>
          <cell r="J221">
            <v>0</v>
          </cell>
          <cell r="K221">
            <v>0</v>
          </cell>
          <cell r="L221">
            <v>0</v>
          </cell>
          <cell r="M221">
            <v>0</v>
          </cell>
          <cell r="N221">
            <v>0</v>
          </cell>
          <cell r="O221">
            <v>0</v>
          </cell>
          <cell r="P221">
            <v>0</v>
          </cell>
        </row>
        <row r="222">
          <cell r="F222">
            <v>0</v>
          </cell>
          <cell r="H222">
            <v>0</v>
          </cell>
          <cell r="J222">
            <v>0</v>
          </cell>
          <cell r="K222">
            <v>0</v>
          </cell>
          <cell r="L222">
            <v>0</v>
          </cell>
          <cell r="M222">
            <v>0</v>
          </cell>
          <cell r="N222">
            <v>0</v>
          </cell>
          <cell r="O222">
            <v>0</v>
          </cell>
          <cell r="P222">
            <v>0</v>
          </cell>
        </row>
        <row r="223">
          <cell r="A223">
            <v>39</v>
          </cell>
          <cell r="B223" t="str">
            <v xml:space="preserve"> HOT DIPPED GALVANIZED STEEL SUPPORT, FOR CONDUIT</v>
          </cell>
          <cell r="C223">
            <v>1100</v>
          </cell>
          <cell r="D223" t="str">
            <v>KG</v>
          </cell>
          <cell r="E223">
            <v>20</v>
          </cell>
          <cell r="F223">
            <v>22000</v>
          </cell>
          <cell r="H223">
            <v>0</v>
          </cell>
          <cell r="I223">
            <v>0.15</v>
          </cell>
          <cell r="J223">
            <v>165</v>
          </cell>
          <cell r="K223">
            <v>20</v>
          </cell>
          <cell r="L223">
            <v>22000</v>
          </cell>
          <cell r="M223">
            <v>0</v>
          </cell>
          <cell r="N223">
            <v>0</v>
          </cell>
          <cell r="O223">
            <v>42</v>
          </cell>
          <cell r="P223">
            <v>46200</v>
          </cell>
        </row>
        <row r="224">
          <cell r="F224">
            <v>0</v>
          </cell>
          <cell r="H224">
            <v>0</v>
          </cell>
          <cell r="J224">
            <v>0</v>
          </cell>
          <cell r="K224">
            <v>0</v>
          </cell>
          <cell r="L224">
            <v>0</v>
          </cell>
          <cell r="M224">
            <v>0</v>
          </cell>
          <cell r="N224">
            <v>0</v>
          </cell>
          <cell r="O224">
            <v>0</v>
          </cell>
          <cell r="P224">
            <v>0</v>
          </cell>
        </row>
        <row r="225">
          <cell r="A225">
            <v>40</v>
          </cell>
          <cell r="B225" t="str">
            <v xml:space="preserve"> PUSH BUTTON  STATION, "START-STOP" TYPE,</v>
          </cell>
          <cell r="C225">
            <v>20</v>
          </cell>
          <cell r="D225" t="str">
            <v>SET</v>
          </cell>
          <cell r="E225">
            <v>3600</v>
          </cell>
          <cell r="F225">
            <v>72000</v>
          </cell>
          <cell r="H225">
            <v>0</v>
          </cell>
          <cell r="I225">
            <v>6</v>
          </cell>
          <cell r="J225">
            <v>120</v>
          </cell>
          <cell r="K225">
            <v>3600</v>
          </cell>
          <cell r="L225">
            <v>72000</v>
          </cell>
          <cell r="M225">
            <v>0</v>
          </cell>
          <cell r="N225">
            <v>0</v>
          </cell>
          <cell r="O225">
            <v>1680</v>
          </cell>
          <cell r="P225">
            <v>33600</v>
          </cell>
        </row>
        <row r="226">
          <cell r="B226" t="str">
            <v xml:space="preserve"> FOR CLASS 1, DIV. 2 GROUP D, NEMA-4X</v>
          </cell>
          <cell r="F226">
            <v>0</v>
          </cell>
          <cell r="H226">
            <v>0</v>
          </cell>
          <cell r="J226">
            <v>0</v>
          </cell>
          <cell r="K226">
            <v>0</v>
          </cell>
          <cell r="L226">
            <v>0</v>
          </cell>
          <cell r="M226">
            <v>0</v>
          </cell>
          <cell r="N226">
            <v>0</v>
          </cell>
          <cell r="O226">
            <v>0</v>
          </cell>
          <cell r="P226">
            <v>0</v>
          </cell>
        </row>
        <row r="227">
          <cell r="F227">
            <v>0</v>
          </cell>
          <cell r="H227">
            <v>0</v>
          </cell>
          <cell r="J227">
            <v>0</v>
          </cell>
          <cell r="K227">
            <v>0</v>
          </cell>
          <cell r="L227">
            <v>0</v>
          </cell>
          <cell r="M227">
            <v>0</v>
          </cell>
          <cell r="N227">
            <v>0</v>
          </cell>
          <cell r="O227">
            <v>0</v>
          </cell>
          <cell r="P227">
            <v>0</v>
          </cell>
        </row>
        <row r="228">
          <cell r="A228">
            <v>41</v>
          </cell>
          <cell r="B228" t="str">
            <v xml:space="preserve"> PUSH BUTTON  STATION, "START-STOP" TYPE, WITH LAMP x 1PC</v>
          </cell>
          <cell r="C228">
            <v>12</v>
          </cell>
          <cell r="D228" t="str">
            <v>SET</v>
          </cell>
          <cell r="E228">
            <v>6800</v>
          </cell>
          <cell r="F228">
            <v>81600</v>
          </cell>
          <cell r="H228">
            <v>0</v>
          </cell>
          <cell r="I228">
            <v>7</v>
          </cell>
          <cell r="J228">
            <v>84</v>
          </cell>
          <cell r="K228">
            <v>6800</v>
          </cell>
          <cell r="L228">
            <v>81600</v>
          </cell>
          <cell r="M228">
            <v>0</v>
          </cell>
          <cell r="N228">
            <v>0</v>
          </cell>
          <cell r="O228">
            <v>1960</v>
          </cell>
          <cell r="P228">
            <v>23520</v>
          </cell>
        </row>
        <row r="229">
          <cell r="B229" t="str">
            <v xml:space="preserve"> FOR CLASS 1, DIV. 2 GROUP D, NEMA-4X</v>
          </cell>
          <cell r="F229">
            <v>0</v>
          </cell>
          <cell r="H229">
            <v>0</v>
          </cell>
          <cell r="J229">
            <v>0</v>
          </cell>
          <cell r="K229">
            <v>0</v>
          </cell>
          <cell r="L229">
            <v>0</v>
          </cell>
          <cell r="M229">
            <v>0</v>
          </cell>
          <cell r="N229">
            <v>0</v>
          </cell>
          <cell r="O229">
            <v>0</v>
          </cell>
          <cell r="P229">
            <v>0</v>
          </cell>
        </row>
        <row r="230">
          <cell r="F230">
            <v>0</v>
          </cell>
          <cell r="H230">
            <v>0</v>
          </cell>
          <cell r="J230">
            <v>0</v>
          </cell>
          <cell r="K230">
            <v>0</v>
          </cell>
          <cell r="L230">
            <v>0</v>
          </cell>
          <cell r="M230">
            <v>0</v>
          </cell>
          <cell r="N230">
            <v>0</v>
          </cell>
          <cell r="O230">
            <v>0</v>
          </cell>
          <cell r="P230">
            <v>0</v>
          </cell>
        </row>
        <row r="231">
          <cell r="A231">
            <v>42</v>
          </cell>
          <cell r="B231" t="str">
            <v xml:space="preserve"> PUSH BUTTON  STATION, "START-STOP" TYPE,</v>
          </cell>
          <cell r="C231">
            <v>20</v>
          </cell>
          <cell r="D231" t="str">
            <v>SET</v>
          </cell>
          <cell r="E231">
            <v>2800</v>
          </cell>
          <cell r="F231">
            <v>56000</v>
          </cell>
          <cell r="H231">
            <v>0</v>
          </cell>
          <cell r="I231">
            <v>5</v>
          </cell>
          <cell r="J231">
            <v>100</v>
          </cell>
          <cell r="K231">
            <v>2800</v>
          </cell>
          <cell r="L231">
            <v>56000</v>
          </cell>
          <cell r="M231">
            <v>0</v>
          </cell>
          <cell r="N231">
            <v>0</v>
          </cell>
          <cell r="O231">
            <v>1400</v>
          </cell>
          <cell r="P231">
            <v>28000</v>
          </cell>
        </row>
        <row r="232">
          <cell r="B232" t="str">
            <v xml:space="preserve"> WEATHER PROOF, NEMA-4X</v>
          </cell>
          <cell r="F232">
            <v>0</v>
          </cell>
          <cell r="H232">
            <v>0</v>
          </cell>
          <cell r="J232">
            <v>0</v>
          </cell>
          <cell r="K232">
            <v>0</v>
          </cell>
          <cell r="L232">
            <v>0</v>
          </cell>
          <cell r="M232">
            <v>0</v>
          </cell>
          <cell r="N232">
            <v>0</v>
          </cell>
          <cell r="O232">
            <v>0</v>
          </cell>
          <cell r="P232">
            <v>0</v>
          </cell>
        </row>
        <row r="233">
          <cell r="F233">
            <v>0</v>
          </cell>
          <cell r="H233">
            <v>0</v>
          </cell>
          <cell r="J233">
            <v>0</v>
          </cell>
          <cell r="K233">
            <v>0</v>
          </cell>
          <cell r="L233">
            <v>0</v>
          </cell>
          <cell r="M233">
            <v>0</v>
          </cell>
          <cell r="N233">
            <v>0</v>
          </cell>
          <cell r="O233">
            <v>0</v>
          </cell>
          <cell r="P233">
            <v>0</v>
          </cell>
        </row>
        <row r="234">
          <cell r="A234">
            <v>43</v>
          </cell>
          <cell r="B234" t="str">
            <v xml:space="preserve"> HOT DIPPED GALVANIZED STEEL SUPPORT, </v>
          </cell>
          <cell r="C234">
            <v>780</v>
          </cell>
          <cell r="D234" t="str">
            <v>KG</v>
          </cell>
          <cell r="E234">
            <v>20</v>
          </cell>
          <cell r="F234">
            <v>15600</v>
          </cell>
          <cell r="H234">
            <v>0</v>
          </cell>
          <cell r="I234">
            <v>0.15</v>
          </cell>
          <cell r="J234">
            <v>117</v>
          </cell>
          <cell r="K234">
            <v>20</v>
          </cell>
          <cell r="L234">
            <v>15600</v>
          </cell>
          <cell r="M234">
            <v>0</v>
          </cell>
          <cell r="N234">
            <v>0</v>
          </cell>
          <cell r="O234">
            <v>42</v>
          </cell>
          <cell r="P234">
            <v>32760</v>
          </cell>
        </row>
        <row r="235">
          <cell r="B235" t="str">
            <v xml:space="preserve"> 1.5M(H) X 52SET FOR PUSH BUTTON STATION</v>
          </cell>
          <cell r="F235">
            <v>0</v>
          </cell>
          <cell r="H235">
            <v>0</v>
          </cell>
          <cell r="J235">
            <v>0</v>
          </cell>
          <cell r="K235">
            <v>0</v>
          </cell>
          <cell r="L235">
            <v>0</v>
          </cell>
          <cell r="M235">
            <v>0</v>
          </cell>
          <cell r="N235">
            <v>0</v>
          </cell>
          <cell r="O235">
            <v>0</v>
          </cell>
          <cell r="P235">
            <v>0</v>
          </cell>
        </row>
        <row r="236">
          <cell r="F236">
            <v>0</v>
          </cell>
          <cell r="H236">
            <v>0</v>
          </cell>
          <cell r="J236">
            <v>0</v>
          </cell>
          <cell r="K236">
            <v>0</v>
          </cell>
          <cell r="L236">
            <v>0</v>
          </cell>
          <cell r="M236">
            <v>0</v>
          </cell>
          <cell r="N236">
            <v>0</v>
          </cell>
          <cell r="O236">
            <v>0</v>
          </cell>
          <cell r="P236">
            <v>0</v>
          </cell>
        </row>
        <row r="237">
          <cell r="A237">
            <v>44</v>
          </cell>
          <cell r="B237" t="str">
            <v>SMALL FOUNDATION FOR PUSH BUTTON STATION</v>
          </cell>
          <cell r="C237">
            <v>52</v>
          </cell>
          <cell r="D237" t="str">
            <v>SET</v>
          </cell>
          <cell r="E237">
            <v>1000</v>
          </cell>
          <cell r="F237">
            <v>52000</v>
          </cell>
          <cell r="H237">
            <v>0</v>
          </cell>
          <cell r="J237">
            <v>0</v>
          </cell>
          <cell r="K237">
            <v>1000</v>
          </cell>
          <cell r="L237">
            <v>52000</v>
          </cell>
          <cell r="M237">
            <v>0</v>
          </cell>
          <cell r="N237">
            <v>0</v>
          </cell>
          <cell r="O237">
            <v>0</v>
          </cell>
          <cell r="P237">
            <v>0</v>
          </cell>
        </row>
        <row r="238">
          <cell r="F238">
            <v>0</v>
          </cell>
          <cell r="H238">
            <v>0</v>
          </cell>
          <cell r="J238">
            <v>0</v>
          </cell>
          <cell r="K238">
            <v>0</v>
          </cell>
          <cell r="L238">
            <v>0</v>
          </cell>
          <cell r="M238">
            <v>0</v>
          </cell>
          <cell r="N238">
            <v>0</v>
          </cell>
          <cell r="O238">
            <v>0</v>
          </cell>
          <cell r="P238">
            <v>0</v>
          </cell>
        </row>
        <row r="239">
          <cell r="B239" t="str">
            <v xml:space="preserve"> CABLE TRAY, LADDER TYPE H.D. GALV. STEEL</v>
          </cell>
          <cell r="F239">
            <v>0</v>
          </cell>
          <cell r="H239">
            <v>0</v>
          </cell>
          <cell r="J239">
            <v>0</v>
          </cell>
          <cell r="K239">
            <v>0</v>
          </cell>
          <cell r="L239">
            <v>0</v>
          </cell>
          <cell r="M239">
            <v>0</v>
          </cell>
          <cell r="N239">
            <v>0</v>
          </cell>
          <cell r="O239">
            <v>0</v>
          </cell>
          <cell r="P239">
            <v>0</v>
          </cell>
        </row>
        <row r="240">
          <cell r="B240" t="str">
            <v xml:space="preserve"> W/ ANODIC TREATMENT &amp; EXPOSY COATING(50u)</v>
          </cell>
          <cell r="F240">
            <v>0</v>
          </cell>
          <cell r="H240">
            <v>0</v>
          </cell>
          <cell r="J240">
            <v>0</v>
          </cell>
          <cell r="K240">
            <v>0</v>
          </cell>
          <cell r="L240">
            <v>0</v>
          </cell>
          <cell r="M240">
            <v>0</v>
          </cell>
          <cell r="N240">
            <v>0</v>
          </cell>
          <cell r="O240">
            <v>0</v>
          </cell>
          <cell r="P240">
            <v>0</v>
          </cell>
        </row>
        <row r="241">
          <cell r="B241" t="str">
            <v xml:space="preserve"> STRAIGHT SECTION, </v>
          </cell>
          <cell r="F241">
            <v>0</v>
          </cell>
          <cell r="H241">
            <v>0</v>
          </cell>
          <cell r="J241">
            <v>0</v>
          </cell>
          <cell r="K241">
            <v>0</v>
          </cell>
          <cell r="L241">
            <v>0</v>
          </cell>
          <cell r="M241">
            <v>0</v>
          </cell>
          <cell r="N241">
            <v>0</v>
          </cell>
          <cell r="O241">
            <v>0</v>
          </cell>
          <cell r="P241">
            <v>0</v>
          </cell>
        </row>
        <row r="242">
          <cell r="A242">
            <v>45</v>
          </cell>
          <cell r="B242" t="str">
            <v xml:space="preserve"> 300 mm  WIDE x 100 mm H</v>
          </cell>
          <cell r="C242">
            <v>230</v>
          </cell>
          <cell r="D242" t="str">
            <v>M</v>
          </cell>
          <cell r="E242">
            <v>328</v>
          </cell>
          <cell r="F242">
            <v>75440</v>
          </cell>
          <cell r="H242">
            <v>0</v>
          </cell>
          <cell r="I242">
            <v>0.74</v>
          </cell>
          <cell r="J242">
            <v>170</v>
          </cell>
          <cell r="K242">
            <v>328</v>
          </cell>
          <cell r="L242">
            <v>75440</v>
          </cell>
          <cell r="M242">
            <v>0</v>
          </cell>
          <cell r="N242">
            <v>0</v>
          </cell>
          <cell r="O242">
            <v>207</v>
          </cell>
          <cell r="P242">
            <v>47610</v>
          </cell>
        </row>
        <row r="243">
          <cell r="A243">
            <v>46</v>
          </cell>
          <cell r="B243" t="str">
            <v xml:space="preserve"> 600 mm WIDE x 100 mm HIGH</v>
          </cell>
          <cell r="C243">
            <v>400</v>
          </cell>
          <cell r="D243" t="str">
            <v>M</v>
          </cell>
          <cell r="E243">
            <v>380</v>
          </cell>
          <cell r="F243">
            <v>152000</v>
          </cell>
          <cell r="H243">
            <v>0</v>
          </cell>
          <cell r="I243">
            <v>0.84</v>
          </cell>
          <cell r="J243">
            <v>336</v>
          </cell>
          <cell r="K243">
            <v>380</v>
          </cell>
          <cell r="L243">
            <v>152000</v>
          </cell>
          <cell r="M243">
            <v>0</v>
          </cell>
          <cell r="N243">
            <v>0</v>
          </cell>
          <cell r="O243">
            <v>235</v>
          </cell>
          <cell r="P243">
            <v>94000</v>
          </cell>
        </row>
        <row r="244">
          <cell r="A244">
            <v>47</v>
          </cell>
          <cell r="B244" t="str">
            <v xml:space="preserve"> 1000 mm WIDE x 100 mm HIGH</v>
          </cell>
          <cell r="C244">
            <v>160</v>
          </cell>
          <cell r="D244" t="str">
            <v>M</v>
          </cell>
          <cell r="E244">
            <v>450</v>
          </cell>
          <cell r="F244">
            <v>72000</v>
          </cell>
          <cell r="H244">
            <v>0</v>
          </cell>
          <cell r="I244">
            <v>1</v>
          </cell>
          <cell r="J244">
            <v>160</v>
          </cell>
          <cell r="K244">
            <v>450</v>
          </cell>
          <cell r="L244">
            <v>72000</v>
          </cell>
          <cell r="M244">
            <v>0</v>
          </cell>
          <cell r="N244">
            <v>0</v>
          </cell>
          <cell r="O244">
            <v>280</v>
          </cell>
          <cell r="P244">
            <v>44800</v>
          </cell>
        </row>
        <row r="245">
          <cell r="F245">
            <v>0</v>
          </cell>
          <cell r="H245">
            <v>0</v>
          </cell>
          <cell r="J245">
            <v>0</v>
          </cell>
          <cell r="K245">
            <v>0</v>
          </cell>
          <cell r="L245">
            <v>0</v>
          </cell>
          <cell r="M245">
            <v>0</v>
          </cell>
          <cell r="N245">
            <v>0</v>
          </cell>
          <cell r="O245">
            <v>0</v>
          </cell>
          <cell r="P245">
            <v>0</v>
          </cell>
        </row>
        <row r="246">
          <cell r="A246">
            <v>48</v>
          </cell>
          <cell r="B246" t="str">
            <v xml:space="preserve"> CABLE TRAY COVER, H.D. GALV. STEEL</v>
          </cell>
          <cell r="C246">
            <v>150</v>
          </cell>
          <cell r="D246" t="str">
            <v>M</v>
          </cell>
          <cell r="E246">
            <v>328</v>
          </cell>
          <cell r="F246">
            <v>49200</v>
          </cell>
          <cell r="H246">
            <v>0</v>
          </cell>
          <cell r="I246">
            <v>0.6</v>
          </cell>
          <cell r="J246">
            <v>90</v>
          </cell>
          <cell r="K246">
            <v>328</v>
          </cell>
          <cell r="L246">
            <v>49200</v>
          </cell>
          <cell r="M246">
            <v>0</v>
          </cell>
          <cell r="N246">
            <v>0</v>
          </cell>
          <cell r="O246">
            <v>168</v>
          </cell>
          <cell r="P246">
            <v>25200</v>
          </cell>
        </row>
        <row r="247">
          <cell r="B247" t="str">
            <v xml:space="preserve"> W/ ANODIC TREATMENT &amp; EXPOSY COATING(50u)</v>
          </cell>
          <cell r="F247">
            <v>0</v>
          </cell>
          <cell r="H247">
            <v>0</v>
          </cell>
          <cell r="J247">
            <v>0</v>
          </cell>
          <cell r="K247">
            <v>0</v>
          </cell>
          <cell r="L247">
            <v>0</v>
          </cell>
          <cell r="M247">
            <v>0</v>
          </cell>
          <cell r="N247">
            <v>0</v>
          </cell>
          <cell r="O247">
            <v>0</v>
          </cell>
          <cell r="P247">
            <v>0</v>
          </cell>
        </row>
        <row r="248">
          <cell r="B248" t="str">
            <v xml:space="preserve"> STRAIGHT SECTION, 600 mm WIDE</v>
          </cell>
          <cell r="F248">
            <v>0</v>
          </cell>
          <cell r="H248">
            <v>0</v>
          </cell>
          <cell r="J248">
            <v>0</v>
          </cell>
          <cell r="K248">
            <v>0</v>
          </cell>
          <cell r="L248">
            <v>0</v>
          </cell>
          <cell r="M248">
            <v>0</v>
          </cell>
          <cell r="N248">
            <v>0</v>
          </cell>
          <cell r="O248">
            <v>0</v>
          </cell>
          <cell r="P248">
            <v>0</v>
          </cell>
        </row>
        <row r="249">
          <cell r="F249">
            <v>0</v>
          </cell>
          <cell r="H249">
            <v>0</v>
          </cell>
          <cell r="J249">
            <v>0</v>
          </cell>
          <cell r="K249">
            <v>0</v>
          </cell>
          <cell r="L249">
            <v>0</v>
          </cell>
          <cell r="M249">
            <v>0</v>
          </cell>
          <cell r="N249">
            <v>0</v>
          </cell>
          <cell r="O249">
            <v>0</v>
          </cell>
          <cell r="P249">
            <v>0</v>
          </cell>
        </row>
        <row r="250">
          <cell r="A250">
            <v>49</v>
          </cell>
          <cell r="B250" t="str">
            <v xml:space="preserve"> CABLE TRAY FITTINGS &amp; ACCESSORIES</v>
          </cell>
          <cell r="C250">
            <v>1</v>
          </cell>
          <cell r="D250" t="str">
            <v>LOT</v>
          </cell>
          <cell r="E250">
            <v>174320</v>
          </cell>
          <cell r="F250">
            <v>174320</v>
          </cell>
          <cell r="H250">
            <v>0</v>
          </cell>
          <cell r="I250">
            <v>113.39999999999999</v>
          </cell>
          <cell r="J250">
            <v>113</v>
          </cell>
          <cell r="K250">
            <v>174320</v>
          </cell>
          <cell r="L250">
            <v>174320</v>
          </cell>
          <cell r="M250">
            <v>0</v>
          </cell>
          <cell r="N250">
            <v>0</v>
          </cell>
          <cell r="O250">
            <v>31752</v>
          </cell>
          <cell r="P250">
            <v>31752</v>
          </cell>
        </row>
        <row r="251">
          <cell r="F251">
            <v>0</v>
          </cell>
          <cell r="H251">
            <v>0</v>
          </cell>
          <cell r="J251">
            <v>0</v>
          </cell>
          <cell r="K251">
            <v>0</v>
          </cell>
          <cell r="L251">
            <v>0</v>
          </cell>
          <cell r="M251">
            <v>0</v>
          </cell>
          <cell r="N251">
            <v>0</v>
          </cell>
          <cell r="O251">
            <v>0</v>
          </cell>
          <cell r="P251">
            <v>0</v>
          </cell>
        </row>
        <row r="252">
          <cell r="A252">
            <v>50</v>
          </cell>
          <cell r="B252" t="str">
            <v xml:space="preserve"> CABLE TRAY SUPPORT(IN TRENCH), HOT DIPPED GALVAN.</v>
          </cell>
          <cell r="C252">
            <v>3950</v>
          </cell>
          <cell r="D252" t="str">
            <v>KG</v>
          </cell>
          <cell r="E252">
            <v>20</v>
          </cell>
          <cell r="F252">
            <v>79000</v>
          </cell>
          <cell r="H252">
            <v>0</v>
          </cell>
          <cell r="I252">
            <v>0.15</v>
          </cell>
          <cell r="J252">
            <v>593</v>
          </cell>
          <cell r="K252">
            <v>20</v>
          </cell>
          <cell r="L252">
            <v>79000</v>
          </cell>
          <cell r="M252">
            <v>0</v>
          </cell>
          <cell r="N252">
            <v>0</v>
          </cell>
          <cell r="O252">
            <v>42</v>
          </cell>
          <cell r="P252">
            <v>165900</v>
          </cell>
        </row>
        <row r="253">
          <cell r="F253">
            <v>0</v>
          </cell>
          <cell r="H253">
            <v>0</v>
          </cell>
          <cell r="J253">
            <v>0</v>
          </cell>
          <cell r="K253">
            <v>0</v>
          </cell>
          <cell r="L253">
            <v>0</v>
          </cell>
          <cell r="M253">
            <v>0</v>
          </cell>
          <cell r="N253">
            <v>0</v>
          </cell>
          <cell r="O253">
            <v>0</v>
          </cell>
          <cell r="P253">
            <v>0</v>
          </cell>
        </row>
        <row r="254">
          <cell r="A254">
            <v>51</v>
          </cell>
          <cell r="B254" t="str">
            <v>POOLING BOX, OUTDOOR TYPE</v>
          </cell>
          <cell r="C254">
            <v>6</v>
          </cell>
          <cell r="D254" t="str">
            <v>SET</v>
          </cell>
          <cell r="E254">
            <v>80000</v>
          </cell>
          <cell r="F254">
            <v>480000</v>
          </cell>
          <cell r="H254">
            <v>0</v>
          </cell>
          <cell r="I254">
            <v>50</v>
          </cell>
          <cell r="J254">
            <v>300</v>
          </cell>
          <cell r="K254">
            <v>80000</v>
          </cell>
          <cell r="L254">
            <v>480000</v>
          </cell>
          <cell r="M254">
            <v>0</v>
          </cell>
          <cell r="N254">
            <v>0</v>
          </cell>
          <cell r="O254">
            <v>14000</v>
          </cell>
          <cell r="P254">
            <v>84000</v>
          </cell>
        </row>
        <row r="255">
          <cell r="B255" t="str">
            <v>HOT DIPPED GALVANIZED STEEL, W/ PAINTING</v>
          </cell>
          <cell r="F255">
            <v>0</v>
          </cell>
          <cell r="H255">
            <v>0</v>
          </cell>
          <cell r="J255">
            <v>0</v>
          </cell>
          <cell r="K255">
            <v>0</v>
          </cell>
          <cell r="L255">
            <v>0</v>
          </cell>
          <cell r="M255">
            <v>0</v>
          </cell>
          <cell r="N255">
            <v>0</v>
          </cell>
          <cell r="O255">
            <v>0</v>
          </cell>
          <cell r="P255">
            <v>0</v>
          </cell>
        </row>
        <row r="256">
          <cell r="B256" t="str">
            <v xml:space="preserve"> 3000(L)x1600(D)x2200(H)MM., W/ DOORS</v>
          </cell>
          <cell r="F256">
            <v>0</v>
          </cell>
          <cell r="H256">
            <v>0</v>
          </cell>
          <cell r="J256">
            <v>0</v>
          </cell>
          <cell r="K256">
            <v>0</v>
          </cell>
          <cell r="L256">
            <v>0</v>
          </cell>
          <cell r="M256">
            <v>0</v>
          </cell>
          <cell r="N256">
            <v>0</v>
          </cell>
          <cell r="O256">
            <v>0</v>
          </cell>
          <cell r="P256">
            <v>0</v>
          </cell>
        </row>
        <row r="257">
          <cell r="F257">
            <v>0</v>
          </cell>
          <cell r="H257">
            <v>0</v>
          </cell>
          <cell r="J257">
            <v>0</v>
          </cell>
          <cell r="K257">
            <v>0</v>
          </cell>
          <cell r="L257">
            <v>0</v>
          </cell>
          <cell r="M257">
            <v>0</v>
          </cell>
          <cell r="N257">
            <v>0</v>
          </cell>
          <cell r="O257">
            <v>0</v>
          </cell>
          <cell r="P257">
            <v>0</v>
          </cell>
        </row>
        <row r="258">
          <cell r="A258">
            <v>52</v>
          </cell>
          <cell r="B258" t="str">
            <v xml:space="preserve">JUNCTION BOX, INDOOR TYPE, </v>
          </cell>
          <cell r="C258">
            <v>3</v>
          </cell>
          <cell r="D258" t="str">
            <v>SET</v>
          </cell>
          <cell r="E258">
            <v>16000</v>
          </cell>
          <cell r="F258">
            <v>48000</v>
          </cell>
          <cell r="H258">
            <v>0</v>
          </cell>
          <cell r="I258">
            <v>15</v>
          </cell>
          <cell r="J258">
            <v>45</v>
          </cell>
          <cell r="K258">
            <v>16000</v>
          </cell>
          <cell r="L258">
            <v>48000</v>
          </cell>
          <cell r="M258">
            <v>0</v>
          </cell>
          <cell r="N258">
            <v>0</v>
          </cell>
          <cell r="O258">
            <v>4200</v>
          </cell>
          <cell r="P258">
            <v>12600</v>
          </cell>
        </row>
        <row r="259">
          <cell r="B259" t="str">
            <v>W/ TB.(FOR 2.0MM. WIRE) X 200P</v>
          </cell>
          <cell r="F259">
            <v>0</v>
          </cell>
          <cell r="H259">
            <v>0</v>
          </cell>
          <cell r="J259">
            <v>0</v>
          </cell>
          <cell r="K259">
            <v>0</v>
          </cell>
          <cell r="L259">
            <v>0</v>
          </cell>
          <cell r="M259">
            <v>0</v>
          </cell>
          <cell r="N259">
            <v>0</v>
          </cell>
          <cell r="O259">
            <v>0</v>
          </cell>
          <cell r="P259">
            <v>0</v>
          </cell>
        </row>
        <row r="260">
          <cell r="F260">
            <v>0</v>
          </cell>
          <cell r="H260">
            <v>0</v>
          </cell>
          <cell r="J260">
            <v>0</v>
          </cell>
          <cell r="K260">
            <v>0</v>
          </cell>
          <cell r="L260">
            <v>0</v>
          </cell>
          <cell r="M260">
            <v>0</v>
          </cell>
          <cell r="N260">
            <v>0</v>
          </cell>
          <cell r="O260">
            <v>0</v>
          </cell>
          <cell r="P260">
            <v>0</v>
          </cell>
        </row>
        <row r="261">
          <cell r="A261">
            <v>53</v>
          </cell>
          <cell r="B261" t="str">
            <v xml:space="preserve"> MISCELLANEOUS MATERIALS</v>
          </cell>
          <cell r="C261">
            <v>1</v>
          </cell>
          <cell r="D261" t="str">
            <v>LOT</v>
          </cell>
          <cell r="E261">
            <v>677772</v>
          </cell>
          <cell r="F261">
            <v>677772</v>
          </cell>
          <cell r="H261">
            <v>0</v>
          </cell>
          <cell r="I261">
            <v>963.71999999999991</v>
          </cell>
          <cell r="J261">
            <v>964</v>
          </cell>
          <cell r="K261">
            <v>677772</v>
          </cell>
          <cell r="L261">
            <v>677772</v>
          </cell>
          <cell r="M261">
            <v>0</v>
          </cell>
          <cell r="N261">
            <v>0</v>
          </cell>
          <cell r="O261">
            <v>269842</v>
          </cell>
          <cell r="P261">
            <v>269842</v>
          </cell>
        </row>
        <row r="262">
          <cell r="F262">
            <v>0</v>
          </cell>
          <cell r="H262">
            <v>0</v>
          </cell>
          <cell r="J262">
            <v>0</v>
          </cell>
          <cell r="K262">
            <v>0</v>
          </cell>
          <cell r="L262">
            <v>0</v>
          </cell>
          <cell r="M262">
            <v>0</v>
          </cell>
          <cell r="N262">
            <v>0</v>
          </cell>
          <cell r="O262">
            <v>0</v>
          </cell>
          <cell r="P262">
            <v>0</v>
          </cell>
        </row>
        <row r="263">
          <cell r="B263" t="str">
            <v>SUB-TOTAL : (B)</v>
          </cell>
          <cell r="F263">
            <v>23270172</v>
          </cell>
          <cell r="H263">
            <v>0</v>
          </cell>
          <cell r="J263">
            <v>33088</v>
          </cell>
          <cell r="K263">
            <v>0</v>
          </cell>
          <cell r="L263">
            <v>23270172</v>
          </cell>
          <cell r="M263">
            <v>0</v>
          </cell>
          <cell r="N263">
            <v>0</v>
          </cell>
          <cell r="O263">
            <v>0</v>
          </cell>
          <cell r="P263">
            <v>9262383</v>
          </cell>
        </row>
        <row r="264">
          <cell r="F264">
            <v>0</v>
          </cell>
          <cell r="H264">
            <v>0</v>
          </cell>
          <cell r="J264">
            <v>0</v>
          </cell>
          <cell r="K264">
            <v>0</v>
          </cell>
          <cell r="L264">
            <v>0</v>
          </cell>
          <cell r="M264">
            <v>0</v>
          </cell>
          <cell r="N264">
            <v>0</v>
          </cell>
          <cell r="O264">
            <v>0</v>
          </cell>
          <cell r="P264">
            <v>0</v>
          </cell>
        </row>
        <row r="265">
          <cell r="F265">
            <v>0</v>
          </cell>
          <cell r="H265">
            <v>0</v>
          </cell>
          <cell r="J265">
            <v>0</v>
          </cell>
          <cell r="K265">
            <v>0</v>
          </cell>
          <cell r="L265">
            <v>0</v>
          </cell>
          <cell r="M265">
            <v>0</v>
          </cell>
          <cell r="N265">
            <v>0</v>
          </cell>
          <cell r="O265">
            <v>0</v>
          </cell>
          <cell r="P265">
            <v>0</v>
          </cell>
        </row>
        <row r="266">
          <cell r="F266">
            <v>0</v>
          </cell>
          <cell r="H266">
            <v>0</v>
          </cell>
          <cell r="J266">
            <v>0</v>
          </cell>
          <cell r="K266">
            <v>0</v>
          </cell>
          <cell r="L266">
            <v>0</v>
          </cell>
          <cell r="M266">
            <v>0</v>
          </cell>
          <cell r="N266">
            <v>0</v>
          </cell>
          <cell r="O266">
            <v>0</v>
          </cell>
          <cell r="P266">
            <v>0</v>
          </cell>
        </row>
        <row r="267">
          <cell r="A267" t="str">
            <v xml:space="preserve">  C.</v>
          </cell>
          <cell r="B267" t="str">
            <v xml:space="preserve"> LIGHTING SYSTEM(所有燈具皆包括燈管或燈泡)</v>
          </cell>
          <cell r="F267">
            <v>0</v>
          </cell>
          <cell r="H267">
            <v>0</v>
          </cell>
          <cell r="J267">
            <v>0</v>
          </cell>
          <cell r="K267">
            <v>0</v>
          </cell>
          <cell r="L267">
            <v>0</v>
          </cell>
          <cell r="M267">
            <v>0</v>
          </cell>
          <cell r="N267">
            <v>0</v>
          </cell>
          <cell r="O267">
            <v>0</v>
          </cell>
          <cell r="P267">
            <v>0</v>
          </cell>
        </row>
        <row r="268">
          <cell r="A268">
            <v>1</v>
          </cell>
          <cell r="B268" t="str">
            <v xml:space="preserve"> LIGHTING PANEL FOR CLASS 1 DIV.2  GROUP D</v>
          </cell>
          <cell r="C268">
            <v>1</v>
          </cell>
          <cell r="D268" t="str">
            <v>SET</v>
          </cell>
          <cell r="E268">
            <v>144000</v>
          </cell>
          <cell r="F268">
            <v>144000</v>
          </cell>
          <cell r="H268">
            <v>0</v>
          </cell>
          <cell r="I268">
            <v>10</v>
          </cell>
          <cell r="J268">
            <v>10</v>
          </cell>
          <cell r="K268">
            <v>144000</v>
          </cell>
          <cell r="L268">
            <v>144000</v>
          </cell>
          <cell r="M268">
            <v>0</v>
          </cell>
          <cell r="N268">
            <v>0</v>
          </cell>
          <cell r="O268">
            <v>2800</v>
          </cell>
          <cell r="P268">
            <v>2800</v>
          </cell>
        </row>
        <row r="269">
          <cell r="B269" t="str">
            <v xml:space="preserve"> , 3 PHASE 3 WIRE 240V, MAIN 3P30A,BRANCH 2P 20A 6CKT</v>
          </cell>
          <cell r="F269">
            <v>0</v>
          </cell>
          <cell r="H269">
            <v>0</v>
          </cell>
          <cell r="J269">
            <v>0</v>
          </cell>
          <cell r="K269">
            <v>0</v>
          </cell>
          <cell r="L269">
            <v>0</v>
          </cell>
          <cell r="M269">
            <v>0</v>
          </cell>
          <cell r="N269">
            <v>0</v>
          </cell>
          <cell r="O269">
            <v>0</v>
          </cell>
          <cell r="P269">
            <v>0</v>
          </cell>
        </row>
        <row r="270">
          <cell r="A270">
            <v>2</v>
          </cell>
          <cell r="B270" t="str">
            <v xml:space="preserve">LTG. PNL FOR WEATHER-PROOF, 3PHASE 3 WIRE 240V </v>
          </cell>
          <cell r="C270">
            <v>1</v>
          </cell>
          <cell r="D270" t="str">
            <v>SET</v>
          </cell>
          <cell r="E270">
            <v>13000</v>
          </cell>
          <cell r="F270">
            <v>13000</v>
          </cell>
          <cell r="H270">
            <v>0</v>
          </cell>
          <cell r="I270">
            <v>10</v>
          </cell>
          <cell r="J270">
            <v>10</v>
          </cell>
          <cell r="K270">
            <v>13000</v>
          </cell>
          <cell r="L270">
            <v>13000</v>
          </cell>
          <cell r="M270">
            <v>0</v>
          </cell>
          <cell r="N270">
            <v>0</v>
          </cell>
          <cell r="O270">
            <v>2800</v>
          </cell>
          <cell r="P270">
            <v>2800</v>
          </cell>
        </row>
        <row r="271">
          <cell r="B271" t="str">
            <v>MAIN 3P30A,BRANCH 2P 20A 8 CKT</v>
          </cell>
          <cell r="F271">
            <v>0</v>
          </cell>
          <cell r="H271">
            <v>0</v>
          </cell>
          <cell r="J271">
            <v>0</v>
          </cell>
          <cell r="K271">
            <v>0</v>
          </cell>
          <cell r="L271">
            <v>0</v>
          </cell>
          <cell r="M271">
            <v>0</v>
          </cell>
          <cell r="N271">
            <v>0</v>
          </cell>
          <cell r="O271">
            <v>0</v>
          </cell>
          <cell r="P271">
            <v>0</v>
          </cell>
        </row>
        <row r="272">
          <cell r="A272">
            <v>3</v>
          </cell>
          <cell r="B272" t="str">
            <v>LTG. PNL. FOR CLASS 1, DIV.2 GROUP D , 3PHASE 3WIRE</v>
          </cell>
          <cell r="C272">
            <v>1</v>
          </cell>
          <cell r="D272" t="str">
            <v>SET</v>
          </cell>
          <cell r="E272">
            <v>157500</v>
          </cell>
          <cell r="F272">
            <v>157500</v>
          </cell>
          <cell r="H272">
            <v>0</v>
          </cell>
          <cell r="I272">
            <v>10</v>
          </cell>
          <cell r="J272">
            <v>10</v>
          </cell>
          <cell r="K272">
            <v>157500</v>
          </cell>
          <cell r="L272">
            <v>157500</v>
          </cell>
          <cell r="M272">
            <v>0</v>
          </cell>
          <cell r="N272">
            <v>0</v>
          </cell>
          <cell r="O272">
            <v>2800</v>
          </cell>
          <cell r="P272">
            <v>2800</v>
          </cell>
        </row>
        <row r="273">
          <cell r="B273" t="str">
            <v>240V, MAIN 3P50A,BRANCH 2P 20A 10CKT</v>
          </cell>
          <cell r="F273">
            <v>0</v>
          </cell>
          <cell r="H273">
            <v>0</v>
          </cell>
          <cell r="J273">
            <v>0</v>
          </cell>
          <cell r="K273">
            <v>0</v>
          </cell>
          <cell r="L273">
            <v>0</v>
          </cell>
          <cell r="M273">
            <v>0</v>
          </cell>
          <cell r="N273">
            <v>0</v>
          </cell>
          <cell r="O273">
            <v>0</v>
          </cell>
          <cell r="P273">
            <v>0</v>
          </cell>
        </row>
        <row r="274">
          <cell r="A274">
            <v>4</v>
          </cell>
          <cell r="B274" t="str">
            <v>LTG. PNL. FOR WEATHER-PROOF , 3PHASE 3WIRE</v>
          </cell>
          <cell r="C274">
            <v>1</v>
          </cell>
          <cell r="D274" t="str">
            <v>SET</v>
          </cell>
          <cell r="E274">
            <v>11000</v>
          </cell>
          <cell r="F274">
            <v>11000</v>
          </cell>
          <cell r="H274">
            <v>0</v>
          </cell>
          <cell r="I274">
            <v>8</v>
          </cell>
          <cell r="J274">
            <v>8</v>
          </cell>
          <cell r="K274">
            <v>11000</v>
          </cell>
          <cell r="L274">
            <v>11000</v>
          </cell>
          <cell r="M274">
            <v>0</v>
          </cell>
          <cell r="N274">
            <v>0</v>
          </cell>
          <cell r="O274">
            <v>2240</v>
          </cell>
          <cell r="P274">
            <v>2240</v>
          </cell>
        </row>
        <row r="275">
          <cell r="B275" t="str">
            <v>240V, MAIN 3P30A,BRANCH2P 20A 6CKT</v>
          </cell>
          <cell r="F275">
            <v>0</v>
          </cell>
          <cell r="H275">
            <v>0</v>
          </cell>
          <cell r="J275">
            <v>0</v>
          </cell>
          <cell r="K275">
            <v>0</v>
          </cell>
          <cell r="L275">
            <v>0</v>
          </cell>
          <cell r="M275">
            <v>0</v>
          </cell>
          <cell r="N275">
            <v>0</v>
          </cell>
          <cell r="O275">
            <v>0</v>
          </cell>
          <cell r="P275">
            <v>0</v>
          </cell>
        </row>
        <row r="276">
          <cell r="A276">
            <v>5</v>
          </cell>
          <cell r="B276" t="str">
            <v>LTG. PNL. FOR CLASS 1, DIV.2 GROUP D 3 PHASE 3 WIRE</v>
          </cell>
          <cell r="C276">
            <v>1</v>
          </cell>
          <cell r="D276" t="str">
            <v>SET</v>
          </cell>
          <cell r="E276">
            <v>164700</v>
          </cell>
          <cell r="F276">
            <v>164700</v>
          </cell>
          <cell r="H276">
            <v>0</v>
          </cell>
          <cell r="I276">
            <v>8</v>
          </cell>
          <cell r="J276">
            <v>8</v>
          </cell>
          <cell r="K276">
            <v>164700</v>
          </cell>
          <cell r="L276">
            <v>164700</v>
          </cell>
          <cell r="M276">
            <v>0</v>
          </cell>
          <cell r="N276">
            <v>0</v>
          </cell>
          <cell r="O276">
            <v>2240</v>
          </cell>
          <cell r="P276">
            <v>2240</v>
          </cell>
        </row>
        <row r="277">
          <cell r="B277" t="str">
            <v>240V 2P50A 12CKT</v>
          </cell>
          <cell r="F277">
            <v>0</v>
          </cell>
          <cell r="H277">
            <v>0</v>
          </cell>
          <cell r="J277">
            <v>0</v>
          </cell>
          <cell r="K277">
            <v>0</v>
          </cell>
          <cell r="L277">
            <v>0</v>
          </cell>
          <cell r="M277">
            <v>0</v>
          </cell>
          <cell r="N277">
            <v>0</v>
          </cell>
          <cell r="O277">
            <v>0</v>
          </cell>
          <cell r="P277">
            <v>0</v>
          </cell>
        </row>
        <row r="278">
          <cell r="A278">
            <v>6</v>
          </cell>
          <cell r="B278" t="str">
            <v>LTG. PNL. FOR GENERAL PURPOSE 3 PHASE 3 WIRE</v>
          </cell>
          <cell r="C278">
            <v>2</v>
          </cell>
          <cell r="D278" t="str">
            <v>SET</v>
          </cell>
          <cell r="E278">
            <v>12500</v>
          </cell>
          <cell r="F278">
            <v>25000</v>
          </cell>
          <cell r="H278">
            <v>0</v>
          </cell>
          <cell r="I278">
            <v>8</v>
          </cell>
          <cell r="J278">
            <v>16</v>
          </cell>
          <cell r="K278">
            <v>12500</v>
          </cell>
          <cell r="L278">
            <v>25000</v>
          </cell>
          <cell r="M278">
            <v>0</v>
          </cell>
          <cell r="N278">
            <v>0</v>
          </cell>
          <cell r="O278">
            <v>2240</v>
          </cell>
          <cell r="P278">
            <v>4480</v>
          </cell>
        </row>
        <row r="279">
          <cell r="B279" t="str">
            <v>240V MAIN 3P50A,BRANCH 3P20A 6CKT</v>
          </cell>
          <cell r="F279">
            <v>0</v>
          </cell>
          <cell r="H279">
            <v>0</v>
          </cell>
          <cell r="J279">
            <v>0</v>
          </cell>
          <cell r="K279">
            <v>0</v>
          </cell>
          <cell r="L279">
            <v>0</v>
          </cell>
          <cell r="M279">
            <v>0</v>
          </cell>
          <cell r="N279">
            <v>0</v>
          </cell>
          <cell r="O279">
            <v>0</v>
          </cell>
          <cell r="P279">
            <v>0</v>
          </cell>
        </row>
        <row r="280">
          <cell r="A280">
            <v>7</v>
          </cell>
          <cell r="B280" t="str">
            <v>LTG. PNL. FOR GENERAL PURPOSE 3 PHASE 3 WIRE</v>
          </cell>
          <cell r="C280">
            <v>1</v>
          </cell>
          <cell r="D280" t="str">
            <v>SET</v>
          </cell>
          <cell r="E280">
            <v>14500</v>
          </cell>
          <cell r="F280">
            <v>14500</v>
          </cell>
          <cell r="H280">
            <v>0</v>
          </cell>
          <cell r="I280">
            <v>8</v>
          </cell>
          <cell r="J280">
            <v>8</v>
          </cell>
          <cell r="K280">
            <v>14500</v>
          </cell>
          <cell r="L280">
            <v>14500</v>
          </cell>
          <cell r="M280">
            <v>0</v>
          </cell>
          <cell r="N280">
            <v>0</v>
          </cell>
          <cell r="O280">
            <v>2240</v>
          </cell>
          <cell r="P280">
            <v>2240</v>
          </cell>
        </row>
        <row r="281">
          <cell r="B281" t="str">
            <v>240V MAIN 3P70A,BRANCH 3P20A 8CKT</v>
          </cell>
          <cell r="F281">
            <v>0</v>
          </cell>
          <cell r="H281">
            <v>0</v>
          </cell>
          <cell r="J281">
            <v>0</v>
          </cell>
          <cell r="K281">
            <v>0</v>
          </cell>
          <cell r="L281">
            <v>0</v>
          </cell>
          <cell r="M281">
            <v>0</v>
          </cell>
          <cell r="N281">
            <v>0</v>
          </cell>
          <cell r="O281">
            <v>0</v>
          </cell>
          <cell r="P281">
            <v>0</v>
          </cell>
        </row>
        <row r="282">
          <cell r="A282">
            <v>8</v>
          </cell>
          <cell r="B282" t="str">
            <v>CIRCUIT BREAKER AND ENCLOSURE FOR CLASS 1 DIV.2</v>
          </cell>
          <cell r="C282">
            <v>5</v>
          </cell>
          <cell r="D282" t="str">
            <v>SET</v>
          </cell>
          <cell r="E282">
            <v>37800</v>
          </cell>
          <cell r="F282">
            <v>189000</v>
          </cell>
          <cell r="H282">
            <v>0</v>
          </cell>
          <cell r="I282">
            <v>4</v>
          </cell>
          <cell r="J282">
            <v>20</v>
          </cell>
          <cell r="K282">
            <v>37800</v>
          </cell>
          <cell r="L282">
            <v>189000</v>
          </cell>
          <cell r="M282">
            <v>0</v>
          </cell>
          <cell r="N282">
            <v>0</v>
          </cell>
          <cell r="O282">
            <v>1120</v>
          </cell>
          <cell r="P282">
            <v>5600</v>
          </cell>
        </row>
        <row r="283">
          <cell r="B283" t="str">
            <v>GROUP D, 3-POLE 20AMP</v>
          </cell>
          <cell r="F283">
            <v>0</v>
          </cell>
          <cell r="H283">
            <v>0</v>
          </cell>
          <cell r="J283">
            <v>0</v>
          </cell>
          <cell r="K283">
            <v>0</v>
          </cell>
          <cell r="L283">
            <v>0</v>
          </cell>
          <cell r="M283">
            <v>0</v>
          </cell>
          <cell r="N283">
            <v>0</v>
          </cell>
          <cell r="O283">
            <v>0</v>
          </cell>
          <cell r="P283">
            <v>0</v>
          </cell>
        </row>
        <row r="284">
          <cell r="A284">
            <v>9</v>
          </cell>
          <cell r="B284" t="str">
            <v xml:space="preserve">CIRCUIT BREAKER AND ENCLOSURE FOR CLASS 1 DIV.2 </v>
          </cell>
          <cell r="C284">
            <v>1</v>
          </cell>
          <cell r="D284" t="str">
            <v>SET</v>
          </cell>
          <cell r="E284">
            <v>37800</v>
          </cell>
          <cell r="F284">
            <v>37800</v>
          </cell>
          <cell r="H284">
            <v>0</v>
          </cell>
          <cell r="I284">
            <v>4</v>
          </cell>
          <cell r="J284">
            <v>4</v>
          </cell>
          <cell r="K284">
            <v>37800</v>
          </cell>
          <cell r="L284">
            <v>37800</v>
          </cell>
          <cell r="M284">
            <v>0</v>
          </cell>
          <cell r="N284">
            <v>0</v>
          </cell>
          <cell r="O284">
            <v>1120</v>
          </cell>
          <cell r="P284">
            <v>1120</v>
          </cell>
        </row>
        <row r="285">
          <cell r="B285" t="str">
            <v>GROUP D 3-POLE 30AMP</v>
          </cell>
          <cell r="F285">
            <v>0</v>
          </cell>
          <cell r="H285">
            <v>0</v>
          </cell>
          <cell r="J285">
            <v>0</v>
          </cell>
          <cell r="K285">
            <v>0</v>
          </cell>
          <cell r="L285">
            <v>0</v>
          </cell>
          <cell r="M285">
            <v>0</v>
          </cell>
          <cell r="N285">
            <v>0</v>
          </cell>
          <cell r="O285">
            <v>0</v>
          </cell>
          <cell r="P285">
            <v>0</v>
          </cell>
        </row>
        <row r="286">
          <cell r="A286">
            <v>10</v>
          </cell>
          <cell r="B286" t="str">
            <v xml:space="preserve">DRY TYPE TRANSFORMER WITH ENCLOSURE </v>
          </cell>
          <cell r="C286">
            <v>4</v>
          </cell>
          <cell r="D286" t="str">
            <v>SET</v>
          </cell>
          <cell r="E286">
            <v>25000</v>
          </cell>
          <cell r="F286">
            <v>100000</v>
          </cell>
          <cell r="H286">
            <v>0</v>
          </cell>
          <cell r="I286">
            <v>12</v>
          </cell>
          <cell r="J286">
            <v>48</v>
          </cell>
          <cell r="K286">
            <v>25000</v>
          </cell>
          <cell r="L286">
            <v>100000</v>
          </cell>
          <cell r="M286">
            <v>0</v>
          </cell>
          <cell r="N286">
            <v>0</v>
          </cell>
          <cell r="O286">
            <v>3360</v>
          </cell>
          <cell r="P286">
            <v>13440</v>
          </cell>
        </row>
        <row r="287">
          <cell r="B287" t="str">
            <v>3PH 480/240V 15KVA</v>
          </cell>
          <cell r="F287">
            <v>0</v>
          </cell>
          <cell r="H287">
            <v>0</v>
          </cell>
          <cell r="J287">
            <v>0</v>
          </cell>
          <cell r="K287">
            <v>0</v>
          </cell>
          <cell r="L287">
            <v>0</v>
          </cell>
          <cell r="M287">
            <v>0</v>
          </cell>
          <cell r="N287">
            <v>0</v>
          </cell>
          <cell r="O287">
            <v>0</v>
          </cell>
          <cell r="P287">
            <v>0</v>
          </cell>
        </row>
        <row r="288">
          <cell r="A288">
            <v>11</v>
          </cell>
          <cell r="B288" t="str">
            <v xml:space="preserve">DRY TYPE TRANSFORMER WITH ENCLOSURE  </v>
          </cell>
          <cell r="C288">
            <v>1</v>
          </cell>
          <cell r="D288" t="str">
            <v>SET</v>
          </cell>
          <cell r="E288">
            <v>33000</v>
          </cell>
          <cell r="F288">
            <v>33000</v>
          </cell>
          <cell r="H288">
            <v>0</v>
          </cell>
          <cell r="I288">
            <v>16</v>
          </cell>
          <cell r="J288">
            <v>16</v>
          </cell>
          <cell r="K288">
            <v>33000</v>
          </cell>
          <cell r="L288">
            <v>33000</v>
          </cell>
          <cell r="M288">
            <v>0</v>
          </cell>
          <cell r="N288">
            <v>0</v>
          </cell>
          <cell r="O288">
            <v>4480</v>
          </cell>
          <cell r="P288">
            <v>4480</v>
          </cell>
        </row>
        <row r="289">
          <cell r="B289" t="str">
            <v xml:space="preserve"> 3PH 480/240V 25KVA</v>
          </cell>
          <cell r="F289">
            <v>0</v>
          </cell>
          <cell r="H289">
            <v>0</v>
          </cell>
          <cell r="J289">
            <v>0</v>
          </cell>
          <cell r="K289">
            <v>0</v>
          </cell>
          <cell r="L289">
            <v>0</v>
          </cell>
          <cell r="M289">
            <v>0</v>
          </cell>
          <cell r="N289">
            <v>0</v>
          </cell>
          <cell r="O289">
            <v>0</v>
          </cell>
          <cell r="P289">
            <v>0</v>
          </cell>
        </row>
        <row r="290">
          <cell r="A290">
            <v>12</v>
          </cell>
          <cell r="B290" t="str">
            <v xml:space="preserve">DRY TYPE TRANSFORMER WITH ENCLOSURE  </v>
          </cell>
          <cell r="C290">
            <v>1</v>
          </cell>
          <cell r="D290" t="str">
            <v>SET</v>
          </cell>
          <cell r="E290">
            <v>18000</v>
          </cell>
          <cell r="F290">
            <v>18000</v>
          </cell>
          <cell r="H290">
            <v>0</v>
          </cell>
          <cell r="I290">
            <v>6</v>
          </cell>
          <cell r="J290">
            <v>6</v>
          </cell>
          <cell r="K290">
            <v>18000</v>
          </cell>
          <cell r="L290">
            <v>18000</v>
          </cell>
          <cell r="M290">
            <v>0</v>
          </cell>
          <cell r="N290">
            <v>0</v>
          </cell>
          <cell r="O290">
            <v>1680</v>
          </cell>
          <cell r="P290">
            <v>1680</v>
          </cell>
        </row>
        <row r="291">
          <cell r="B291" t="str">
            <v xml:space="preserve"> 3PH 480/240-120V 5KVA</v>
          </cell>
          <cell r="F291">
            <v>0</v>
          </cell>
          <cell r="H291">
            <v>0</v>
          </cell>
          <cell r="J291">
            <v>0</v>
          </cell>
          <cell r="K291">
            <v>0</v>
          </cell>
          <cell r="L291">
            <v>0</v>
          </cell>
          <cell r="M291">
            <v>0</v>
          </cell>
          <cell r="N291">
            <v>0</v>
          </cell>
          <cell r="O291">
            <v>0</v>
          </cell>
          <cell r="P291">
            <v>0</v>
          </cell>
        </row>
        <row r="292">
          <cell r="A292">
            <v>13</v>
          </cell>
          <cell r="B292" t="str">
            <v xml:space="preserve"> MER. VAP. LTG. FIX. VAPOR-TIGHT PENDANT</v>
          </cell>
          <cell r="C292">
            <v>21</v>
          </cell>
          <cell r="D292" t="str">
            <v>SET</v>
          </cell>
          <cell r="E292">
            <v>9500</v>
          </cell>
          <cell r="F292">
            <v>199500</v>
          </cell>
          <cell r="H292">
            <v>0</v>
          </cell>
          <cell r="I292">
            <v>7</v>
          </cell>
          <cell r="J292">
            <v>147</v>
          </cell>
          <cell r="K292">
            <v>9500</v>
          </cell>
          <cell r="L292">
            <v>199500</v>
          </cell>
          <cell r="M292">
            <v>0</v>
          </cell>
          <cell r="N292">
            <v>0</v>
          </cell>
          <cell r="O292">
            <v>1960</v>
          </cell>
          <cell r="P292">
            <v>41160</v>
          </cell>
        </row>
        <row r="293">
          <cell r="B293" t="str">
            <v xml:space="preserve"> MTG,. INTEGRAL CONST. WATT. BALLAST C/W </v>
          </cell>
          <cell r="F293">
            <v>0</v>
          </cell>
          <cell r="H293">
            <v>0</v>
          </cell>
          <cell r="J293">
            <v>0</v>
          </cell>
          <cell r="K293">
            <v>0</v>
          </cell>
          <cell r="L293">
            <v>0</v>
          </cell>
          <cell r="M293">
            <v>0</v>
          </cell>
          <cell r="N293">
            <v>0</v>
          </cell>
          <cell r="O293">
            <v>0</v>
          </cell>
          <cell r="P293">
            <v>0</v>
          </cell>
        </row>
        <row r="294">
          <cell r="B294" t="str">
            <v xml:space="preserve"> GUARD AND DOME REFL. 3/4" HUB 400W 240V</v>
          </cell>
          <cell r="F294">
            <v>0</v>
          </cell>
          <cell r="H294">
            <v>0</v>
          </cell>
          <cell r="J294">
            <v>0</v>
          </cell>
          <cell r="K294">
            <v>0</v>
          </cell>
          <cell r="L294">
            <v>0</v>
          </cell>
          <cell r="M294">
            <v>0</v>
          </cell>
          <cell r="N294">
            <v>0</v>
          </cell>
          <cell r="O294">
            <v>0</v>
          </cell>
          <cell r="P294">
            <v>0</v>
          </cell>
        </row>
        <row r="295">
          <cell r="B295" t="str">
            <v>CLASS 1, DIV.2 GROPU D</v>
          </cell>
          <cell r="F295">
            <v>0</v>
          </cell>
          <cell r="H295">
            <v>0</v>
          </cell>
          <cell r="J295">
            <v>0</v>
          </cell>
          <cell r="K295">
            <v>0</v>
          </cell>
          <cell r="L295">
            <v>0</v>
          </cell>
          <cell r="M295">
            <v>0</v>
          </cell>
          <cell r="N295">
            <v>0</v>
          </cell>
          <cell r="O295">
            <v>0</v>
          </cell>
          <cell r="P295">
            <v>0</v>
          </cell>
        </row>
        <row r="296">
          <cell r="A296">
            <v>14</v>
          </cell>
          <cell r="B296" t="str">
            <v xml:space="preserve">MER. VAP. LTG. FIX. VAPOR-TIGHT STANCHION MTG. </v>
          </cell>
          <cell r="C296">
            <v>122</v>
          </cell>
          <cell r="D296" t="str">
            <v>SET</v>
          </cell>
          <cell r="E296">
            <v>6000</v>
          </cell>
          <cell r="F296">
            <v>732000</v>
          </cell>
          <cell r="H296">
            <v>0</v>
          </cell>
          <cell r="I296">
            <v>8</v>
          </cell>
          <cell r="J296">
            <v>976</v>
          </cell>
          <cell r="K296">
            <v>6000</v>
          </cell>
          <cell r="L296">
            <v>732000</v>
          </cell>
          <cell r="M296">
            <v>0</v>
          </cell>
          <cell r="N296">
            <v>0</v>
          </cell>
          <cell r="O296">
            <v>2240</v>
          </cell>
          <cell r="P296">
            <v>273280</v>
          </cell>
        </row>
        <row r="297">
          <cell r="B297" t="str">
            <v>INTEGRAL CONST. WATT. BALLAST C/W GLOBE GUARD &amp;</v>
          </cell>
          <cell r="F297">
            <v>0</v>
          </cell>
          <cell r="H297">
            <v>0</v>
          </cell>
          <cell r="J297">
            <v>0</v>
          </cell>
          <cell r="K297">
            <v>0</v>
          </cell>
          <cell r="L297">
            <v>0</v>
          </cell>
          <cell r="M297">
            <v>0</v>
          </cell>
          <cell r="N297">
            <v>0</v>
          </cell>
          <cell r="O297">
            <v>0</v>
          </cell>
          <cell r="P297">
            <v>0</v>
          </cell>
        </row>
        <row r="298">
          <cell r="B298" t="str">
            <v xml:space="preserve">DOME REFL. 1-1/2 IN HUB 175W 240V CLASS 1, DIV 2 </v>
          </cell>
          <cell r="F298">
            <v>0</v>
          </cell>
          <cell r="H298">
            <v>0</v>
          </cell>
          <cell r="J298">
            <v>0</v>
          </cell>
          <cell r="K298">
            <v>0</v>
          </cell>
          <cell r="L298">
            <v>0</v>
          </cell>
          <cell r="M298">
            <v>0</v>
          </cell>
          <cell r="N298">
            <v>0</v>
          </cell>
          <cell r="O298">
            <v>0</v>
          </cell>
          <cell r="P298">
            <v>0</v>
          </cell>
        </row>
        <row r="299">
          <cell r="B299" t="str">
            <v>GROUP D</v>
          </cell>
          <cell r="F299">
            <v>0</v>
          </cell>
          <cell r="H299">
            <v>0</v>
          </cell>
          <cell r="J299">
            <v>0</v>
          </cell>
          <cell r="K299">
            <v>0</v>
          </cell>
          <cell r="L299">
            <v>0</v>
          </cell>
          <cell r="M299">
            <v>0</v>
          </cell>
          <cell r="N299">
            <v>0</v>
          </cell>
          <cell r="O299">
            <v>0</v>
          </cell>
          <cell r="P299">
            <v>0</v>
          </cell>
        </row>
        <row r="300">
          <cell r="A300">
            <v>15</v>
          </cell>
          <cell r="B300" t="str">
            <v>MER. VAP. LTG. FIX. VAPOR-TIGHT PENDANT MTG.</v>
          </cell>
          <cell r="C300">
            <v>52</v>
          </cell>
          <cell r="D300" t="str">
            <v>SET</v>
          </cell>
          <cell r="E300">
            <v>5600</v>
          </cell>
          <cell r="F300">
            <v>291200</v>
          </cell>
          <cell r="H300">
            <v>0</v>
          </cell>
          <cell r="I300">
            <v>7</v>
          </cell>
          <cell r="J300">
            <v>364</v>
          </cell>
          <cell r="K300">
            <v>5600</v>
          </cell>
          <cell r="L300">
            <v>291200</v>
          </cell>
          <cell r="M300">
            <v>0</v>
          </cell>
          <cell r="N300">
            <v>0</v>
          </cell>
          <cell r="O300">
            <v>1960</v>
          </cell>
          <cell r="P300">
            <v>101920</v>
          </cell>
        </row>
        <row r="301">
          <cell r="B301" t="str">
            <v xml:space="preserve">INTEGRAL CONST. WATT. BALLAST C/W GUARD AND </v>
          </cell>
          <cell r="F301">
            <v>0</v>
          </cell>
          <cell r="H301">
            <v>0</v>
          </cell>
          <cell r="J301">
            <v>0</v>
          </cell>
          <cell r="K301">
            <v>0</v>
          </cell>
          <cell r="L301">
            <v>0</v>
          </cell>
          <cell r="M301">
            <v>0</v>
          </cell>
          <cell r="N301">
            <v>0</v>
          </cell>
          <cell r="O301">
            <v>0</v>
          </cell>
          <cell r="P301">
            <v>0</v>
          </cell>
        </row>
        <row r="302">
          <cell r="B302" t="str">
            <v>DOME REFL. 3/4" HUB 175W 240V CLASS 1 DIV.2 GROUP D</v>
          </cell>
          <cell r="F302">
            <v>0</v>
          </cell>
          <cell r="H302">
            <v>0</v>
          </cell>
          <cell r="J302">
            <v>0</v>
          </cell>
          <cell r="K302">
            <v>0</v>
          </cell>
          <cell r="L302">
            <v>0</v>
          </cell>
          <cell r="M302">
            <v>0</v>
          </cell>
          <cell r="N302">
            <v>0</v>
          </cell>
          <cell r="O302">
            <v>0</v>
          </cell>
          <cell r="P302">
            <v>0</v>
          </cell>
        </row>
        <row r="303">
          <cell r="A303">
            <v>16</v>
          </cell>
          <cell r="B303" t="str">
            <v xml:space="preserve"> FLOOD FLOODING MER. VAP. 250W WEATHER-PROOF</v>
          </cell>
          <cell r="C303">
            <v>45</v>
          </cell>
          <cell r="D303" t="str">
            <v>SET</v>
          </cell>
          <cell r="E303">
            <v>1900</v>
          </cell>
          <cell r="F303">
            <v>85500</v>
          </cell>
          <cell r="H303">
            <v>0</v>
          </cell>
          <cell r="I303">
            <v>7</v>
          </cell>
          <cell r="J303">
            <v>315</v>
          </cell>
          <cell r="K303">
            <v>1900</v>
          </cell>
          <cell r="L303">
            <v>85500</v>
          </cell>
          <cell r="M303">
            <v>0</v>
          </cell>
          <cell r="N303">
            <v>0</v>
          </cell>
          <cell r="O303">
            <v>1960</v>
          </cell>
          <cell r="P303">
            <v>88200</v>
          </cell>
        </row>
        <row r="304">
          <cell r="A304">
            <v>17</v>
          </cell>
          <cell r="B304" t="str">
            <v xml:space="preserve">MER. VAP. STREET LTG FIX. 250W 240V </v>
          </cell>
          <cell r="C304">
            <v>209</v>
          </cell>
          <cell r="D304" t="str">
            <v>SET</v>
          </cell>
          <cell r="E304">
            <v>1650</v>
          </cell>
          <cell r="F304">
            <v>344850</v>
          </cell>
          <cell r="H304">
            <v>0</v>
          </cell>
          <cell r="I304">
            <v>2</v>
          </cell>
          <cell r="J304">
            <v>418</v>
          </cell>
          <cell r="K304">
            <v>1650</v>
          </cell>
          <cell r="L304">
            <v>344850</v>
          </cell>
          <cell r="M304">
            <v>0</v>
          </cell>
          <cell r="N304">
            <v>0</v>
          </cell>
          <cell r="O304">
            <v>560</v>
          </cell>
          <cell r="P304">
            <v>117040</v>
          </cell>
        </row>
        <row r="305">
          <cell r="A305">
            <v>18</v>
          </cell>
          <cell r="B305" t="str">
            <v>STREET LIGHT PLOE 7M SINGLE ARM WITH FOUNDATION</v>
          </cell>
          <cell r="C305">
            <v>95</v>
          </cell>
          <cell r="D305" t="str">
            <v>SET</v>
          </cell>
          <cell r="E305">
            <v>11600</v>
          </cell>
          <cell r="F305">
            <v>1102000</v>
          </cell>
          <cell r="H305">
            <v>0</v>
          </cell>
          <cell r="I305">
            <v>9</v>
          </cell>
          <cell r="J305">
            <v>855</v>
          </cell>
          <cell r="K305">
            <v>11600</v>
          </cell>
          <cell r="L305">
            <v>1102000</v>
          </cell>
          <cell r="M305">
            <v>0</v>
          </cell>
          <cell r="N305">
            <v>0</v>
          </cell>
          <cell r="O305">
            <v>2520</v>
          </cell>
          <cell r="P305">
            <v>239400</v>
          </cell>
        </row>
        <row r="306">
          <cell r="A306">
            <v>19</v>
          </cell>
          <cell r="B306" t="str">
            <v>STREET LIGHT PLOE 7M TWINS ARMS WITH FOUNDATION</v>
          </cell>
          <cell r="C306">
            <v>57</v>
          </cell>
          <cell r="D306" t="str">
            <v>SET</v>
          </cell>
          <cell r="E306">
            <v>13300</v>
          </cell>
          <cell r="F306">
            <v>758100</v>
          </cell>
          <cell r="H306">
            <v>0</v>
          </cell>
          <cell r="I306">
            <v>10</v>
          </cell>
          <cell r="J306">
            <v>570</v>
          </cell>
          <cell r="K306">
            <v>13300</v>
          </cell>
          <cell r="L306">
            <v>758100</v>
          </cell>
          <cell r="M306">
            <v>0</v>
          </cell>
          <cell r="N306">
            <v>0</v>
          </cell>
          <cell r="O306">
            <v>2800</v>
          </cell>
          <cell r="P306">
            <v>159600</v>
          </cell>
        </row>
        <row r="307">
          <cell r="A307">
            <v>20</v>
          </cell>
          <cell r="B307" t="str">
            <v xml:space="preserve"> PHOTOELECTRIC CONTROL UNIT, 240V 15A, </v>
          </cell>
          <cell r="C307">
            <v>1</v>
          </cell>
          <cell r="D307" t="str">
            <v>PCS</v>
          </cell>
          <cell r="E307">
            <v>6000</v>
          </cell>
          <cell r="F307">
            <v>6000</v>
          </cell>
          <cell r="H307">
            <v>0</v>
          </cell>
          <cell r="I307">
            <v>4</v>
          </cell>
          <cell r="J307">
            <v>4</v>
          </cell>
          <cell r="K307">
            <v>6000</v>
          </cell>
          <cell r="L307">
            <v>6000</v>
          </cell>
          <cell r="M307">
            <v>0</v>
          </cell>
          <cell r="N307">
            <v>0</v>
          </cell>
          <cell r="O307">
            <v>1120</v>
          </cell>
          <cell r="P307">
            <v>1120</v>
          </cell>
        </row>
        <row r="308">
          <cell r="A308">
            <v>21</v>
          </cell>
          <cell r="B308" t="str">
            <v>FLUORESCENT LTG. FIX. WITH BATTERY 2x40W 240V</v>
          </cell>
          <cell r="C308">
            <v>46</v>
          </cell>
          <cell r="D308" t="str">
            <v>SET</v>
          </cell>
          <cell r="E308">
            <v>27000</v>
          </cell>
          <cell r="F308">
            <v>1242000</v>
          </cell>
          <cell r="H308">
            <v>0</v>
          </cell>
          <cell r="I308">
            <v>6</v>
          </cell>
          <cell r="J308">
            <v>276</v>
          </cell>
          <cell r="K308">
            <v>27000</v>
          </cell>
          <cell r="L308">
            <v>1242000</v>
          </cell>
          <cell r="M308">
            <v>0</v>
          </cell>
          <cell r="N308">
            <v>0</v>
          </cell>
          <cell r="O308">
            <v>1680</v>
          </cell>
          <cell r="P308">
            <v>77280</v>
          </cell>
        </row>
        <row r="309">
          <cell r="B309" t="str">
            <v>FOR CLASS 1, DIV.2 GROUP D</v>
          </cell>
          <cell r="F309">
            <v>0</v>
          </cell>
          <cell r="H309">
            <v>0</v>
          </cell>
          <cell r="J309">
            <v>0</v>
          </cell>
          <cell r="K309">
            <v>0</v>
          </cell>
          <cell r="L309">
            <v>0</v>
          </cell>
          <cell r="M309">
            <v>0</v>
          </cell>
          <cell r="N309">
            <v>0</v>
          </cell>
          <cell r="O309">
            <v>0</v>
          </cell>
          <cell r="P309">
            <v>0</v>
          </cell>
        </row>
        <row r="310">
          <cell r="A310">
            <v>22</v>
          </cell>
          <cell r="B310" t="str">
            <v xml:space="preserve"> OBSTRUCTION RED BEACON 120/240V, 3W FEED,</v>
          </cell>
          <cell r="C310">
            <v>2</v>
          </cell>
          <cell r="D310" t="str">
            <v>SET</v>
          </cell>
          <cell r="E310">
            <v>48600</v>
          </cell>
          <cell r="F310">
            <v>97200</v>
          </cell>
          <cell r="H310">
            <v>0</v>
          </cell>
          <cell r="I310">
            <v>40</v>
          </cell>
          <cell r="J310">
            <v>80</v>
          </cell>
          <cell r="K310">
            <v>48600</v>
          </cell>
          <cell r="L310">
            <v>97200</v>
          </cell>
          <cell r="M310">
            <v>0</v>
          </cell>
          <cell r="N310">
            <v>0</v>
          </cell>
          <cell r="O310">
            <v>11200</v>
          </cell>
          <cell r="P310">
            <v>22400</v>
          </cell>
        </row>
        <row r="311">
          <cell r="B311" t="str">
            <v xml:space="preserve"> 620W x 2 FOR CLASS 1, DIV.2 GROUP D</v>
          </cell>
          <cell r="F311">
            <v>0</v>
          </cell>
          <cell r="H311">
            <v>0</v>
          </cell>
          <cell r="J311">
            <v>0</v>
          </cell>
          <cell r="K311">
            <v>0</v>
          </cell>
          <cell r="L311">
            <v>0</v>
          </cell>
          <cell r="M311">
            <v>0</v>
          </cell>
          <cell r="N311">
            <v>0</v>
          </cell>
          <cell r="O311">
            <v>0</v>
          </cell>
          <cell r="P311">
            <v>0</v>
          </cell>
        </row>
        <row r="312">
          <cell r="A312">
            <v>23</v>
          </cell>
          <cell r="B312" t="str">
            <v xml:space="preserve"> OBSTRUCTION MARKER LIGHT, SINGLE FIXTURE</v>
          </cell>
          <cell r="C312">
            <v>3</v>
          </cell>
          <cell r="D312" t="str">
            <v>SET</v>
          </cell>
          <cell r="E312">
            <v>23000</v>
          </cell>
          <cell r="F312">
            <v>69000</v>
          </cell>
          <cell r="H312">
            <v>0</v>
          </cell>
          <cell r="I312">
            <v>15</v>
          </cell>
          <cell r="J312">
            <v>45</v>
          </cell>
          <cell r="K312">
            <v>23000</v>
          </cell>
          <cell r="L312">
            <v>69000</v>
          </cell>
          <cell r="M312">
            <v>0</v>
          </cell>
          <cell r="N312">
            <v>0</v>
          </cell>
          <cell r="O312">
            <v>4200</v>
          </cell>
          <cell r="P312">
            <v>12600</v>
          </cell>
        </row>
        <row r="313">
          <cell r="B313" t="str">
            <v xml:space="preserve"> C/W INSIDE LAMP,120V 116W,FOR CLASS 1, DIV. 2 </v>
          </cell>
          <cell r="F313">
            <v>0</v>
          </cell>
          <cell r="H313">
            <v>0</v>
          </cell>
          <cell r="J313">
            <v>0</v>
          </cell>
          <cell r="K313">
            <v>0</v>
          </cell>
          <cell r="L313">
            <v>0</v>
          </cell>
          <cell r="M313">
            <v>0</v>
          </cell>
          <cell r="N313">
            <v>0</v>
          </cell>
          <cell r="O313">
            <v>0</v>
          </cell>
          <cell r="P313">
            <v>0</v>
          </cell>
        </row>
        <row r="314">
          <cell r="B314" t="str">
            <v>GROUP D</v>
          </cell>
          <cell r="F314">
            <v>0</v>
          </cell>
          <cell r="H314">
            <v>0</v>
          </cell>
          <cell r="J314">
            <v>0</v>
          </cell>
          <cell r="K314">
            <v>0</v>
          </cell>
          <cell r="L314">
            <v>0</v>
          </cell>
          <cell r="M314">
            <v>0</v>
          </cell>
          <cell r="N314">
            <v>0</v>
          </cell>
          <cell r="O314">
            <v>0</v>
          </cell>
          <cell r="P314">
            <v>0</v>
          </cell>
        </row>
        <row r="315">
          <cell r="A315">
            <v>24</v>
          </cell>
          <cell r="B315" t="str">
            <v xml:space="preserve"> FLASHER UNIT, CAST AL. HOUSING 3 CKT</v>
          </cell>
          <cell r="C315">
            <v>1</v>
          </cell>
          <cell r="D315" t="str">
            <v>SET</v>
          </cell>
          <cell r="E315">
            <v>28800</v>
          </cell>
          <cell r="F315">
            <v>28800</v>
          </cell>
          <cell r="H315">
            <v>0</v>
          </cell>
          <cell r="I315">
            <v>4</v>
          </cell>
          <cell r="J315">
            <v>4</v>
          </cell>
          <cell r="K315">
            <v>28800</v>
          </cell>
          <cell r="L315">
            <v>28800</v>
          </cell>
          <cell r="M315">
            <v>0</v>
          </cell>
          <cell r="N315">
            <v>0</v>
          </cell>
          <cell r="O315">
            <v>1120</v>
          </cell>
          <cell r="P315">
            <v>1120</v>
          </cell>
        </row>
        <row r="316">
          <cell r="B316" t="str">
            <v xml:space="preserve"> SIMULTANEOUS FLASH, 115/240V 3 WIRE, 25A</v>
          </cell>
          <cell r="F316">
            <v>0</v>
          </cell>
          <cell r="H316">
            <v>0</v>
          </cell>
          <cell r="J316">
            <v>0</v>
          </cell>
          <cell r="K316">
            <v>0</v>
          </cell>
          <cell r="L316">
            <v>0</v>
          </cell>
          <cell r="M316">
            <v>0</v>
          </cell>
          <cell r="N316">
            <v>0</v>
          </cell>
          <cell r="O316">
            <v>0</v>
          </cell>
          <cell r="P316">
            <v>0</v>
          </cell>
        </row>
        <row r="317">
          <cell r="B317" t="str">
            <v>FOR CLASS 1, DIV.2 GROUP D</v>
          </cell>
          <cell r="F317">
            <v>0</v>
          </cell>
          <cell r="H317">
            <v>0</v>
          </cell>
          <cell r="J317">
            <v>0</v>
          </cell>
          <cell r="K317">
            <v>0</v>
          </cell>
          <cell r="L317">
            <v>0</v>
          </cell>
          <cell r="M317">
            <v>0</v>
          </cell>
          <cell r="N317">
            <v>0</v>
          </cell>
          <cell r="O317">
            <v>0</v>
          </cell>
          <cell r="P317">
            <v>0</v>
          </cell>
        </row>
        <row r="318">
          <cell r="A318">
            <v>25</v>
          </cell>
          <cell r="B318" t="str">
            <v xml:space="preserve"> PHOTOELECTRIC CONTROL UNIT, 120V 15A, </v>
          </cell>
          <cell r="C318">
            <v>1</v>
          </cell>
          <cell r="D318" t="str">
            <v>SET</v>
          </cell>
          <cell r="E318">
            <v>28800</v>
          </cell>
          <cell r="F318">
            <v>28800</v>
          </cell>
          <cell r="H318">
            <v>0</v>
          </cell>
          <cell r="I318">
            <v>6</v>
          </cell>
          <cell r="J318">
            <v>6</v>
          </cell>
          <cell r="K318">
            <v>28800</v>
          </cell>
          <cell r="L318">
            <v>28800</v>
          </cell>
          <cell r="M318">
            <v>0</v>
          </cell>
          <cell r="N318">
            <v>0</v>
          </cell>
          <cell r="O318">
            <v>1680</v>
          </cell>
          <cell r="P318">
            <v>1680</v>
          </cell>
        </row>
        <row r="319">
          <cell r="B319" t="str">
            <v>FOR CLASS 1, DIV.2 GROUP D</v>
          </cell>
          <cell r="F319">
            <v>0</v>
          </cell>
          <cell r="H319">
            <v>0</v>
          </cell>
          <cell r="J319">
            <v>0</v>
          </cell>
          <cell r="K319">
            <v>0</v>
          </cell>
          <cell r="L319">
            <v>0</v>
          </cell>
          <cell r="M319">
            <v>0</v>
          </cell>
          <cell r="N319">
            <v>0</v>
          </cell>
          <cell r="O319">
            <v>0</v>
          </cell>
          <cell r="P319">
            <v>0</v>
          </cell>
        </row>
        <row r="320">
          <cell r="A320">
            <v>26</v>
          </cell>
          <cell r="B320" t="str">
            <v xml:space="preserve"> AIRCRAFT WARNING LIGHTING POWER PANEL,</v>
          </cell>
          <cell r="C320">
            <v>1</v>
          </cell>
          <cell r="D320" t="str">
            <v>SET</v>
          </cell>
          <cell r="E320">
            <v>60000</v>
          </cell>
          <cell r="F320">
            <v>60000</v>
          </cell>
          <cell r="H320">
            <v>0</v>
          </cell>
          <cell r="I320">
            <v>4</v>
          </cell>
          <cell r="J320">
            <v>4</v>
          </cell>
          <cell r="K320">
            <v>60000</v>
          </cell>
          <cell r="L320">
            <v>60000</v>
          </cell>
          <cell r="M320">
            <v>0</v>
          </cell>
          <cell r="N320">
            <v>0</v>
          </cell>
          <cell r="O320">
            <v>1120</v>
          </cell>
          <cell r="P320">
            <v>1120</v>
          </cell>
        </row>
        <row r="321">
          <cell r="B321" t="str">
            <v xml:space="preserve"> OUTDOOR TYPE, 400L x 200W x 200H, 1PH 3W</v>
          </cell>
          <cell r="F321">
            <v>0</v>
          </cell>
          <cell r="H321">
            <v>0</v>
          </cell>
          <cell r="J321">
            <v>0</v>
          </cell>
          <cell r="K321">
            <v>0</v>
          </cell>
          <cell r="L321">
            <v>0</v>
          </cell>
          <cell r="M321">
            <v>0</v>
          </cell>
          <cell r="N321">
            <v>0</v>
          </cell>
          <cell r="O321">
            <v>0</v>
          </cell>
          <cell r="P321">
            <v>0</v>
          </cell>
        </row>
        <row r="322">
          <cell r="B322" t="str">
            <v xml:space="preserve"> 240V 30AT IC 10KA, STAINLESS STEEL</v>
          </cell>
          <cell r="F322">
            <v>0</v>
          </cell>
          <cell r="H322">
            <v>0</v>
          </cell>
          <cell r="J322">
            <v>0</v>
          </cell>
          <cell r="K322">
            <v>0</v>
          </cell>
          <cell r="L322">
            <v>0</v>
          </cell>
          <cell r="M322">
            <v>0</v>
          </cell>
          <cell r="N322">
            <v>0</v>
          </cell>
          <cell r="O322">
            <v>0</v>
          </cell>
          <cell r="P322">
            <v>0</v>
          </cell>
        </row>
        <row r="323">
          <cell r="B323" t="str">
            <v>FOR CLASS 1, DIV.2 GROUP D</v>
          </cell>
          <cell r="F323">
            <v>0</v>
          </cell>
          <cell r="H323">
            <v>0</v>
          </cell>
          <cell r="J323">
            <v>0</v>
          </cell>
          <cell r="K323">
            <v>0</v>
          </cell>
          <cell r="L323">
            <v>0</v>
          </cell>
          <cell r="M323">
            <v>0</v>
          </cell>
          <cell r="N323">
            <v>0</v>
          </cell>
          <cell r="O323">
            <v>0</v>
          </cell>
          <cell r="P323">
            <v>0</v>
          </cell>
        </row>
        <row r="324">
          <cell r="A324">
            <v>27</v>
          </cell>
          <cell r="B324" t="str">
            <v>RECEPTACLE, EXPLOSION-PROOF 20A-3P-2W</v>
          </cell>
          <cell r="C324">
            <v>8</v>
          </cell>
          <cell r="D324" t="str">
            <v>SET</v>
          </cell>
          <cell r="E324">
            <v>5400</v>
          </cell>
          <cell r="F324">
            <v>43200</v>
          </cell>
          <cell r="H324">
            <v>0</v>
          </cell>
          <cell r="I324">
            <v>4</v>
          </cell>
          <cell r="J324">
            <v>32</v>
          </cell>
          <cell r="K324">
            <v>5400</v>
          </cell>
          <cell r="L324">
            <v>43200</v>
          </cell>
          <cell r="M324">
            <v>0</v>
          </cell>
          <cell r="N324">
            <v>0</v>
          </cell>
          <cell r="O324">
            <v>1120</v>
          </cell>
          <cell r="P324">
            <v>8960</v>
          </cell>
        </row>
        <row r="325">
          <cell r="B325" t="str">
            <v>240V, CLASS 1 DIV.2 GROUP D</v>
          </cell>
          <cell r="F325">
            <v>0</v>
          </cell>
          <cell r="H325">
            <v>0</v>
          </cell>
          <cell r="J325">
            <v>0</v>
          </cell>
          <cell r="K325">
            <v>0</v>
          </cell>
          <cell r="L325">
            <v>0</v>
          </cell>
          <cell r="M325">
            <v>0</v>
          </cell>
          <cell r="N325">
            <v>0</v>
          </cell>
          <cell r="O325">
            <v>0</v>
          </cell>
          <cell r="P325">
            <v>0</v>
          </cell>
        </row>
        <row r="326">
          <cell r="A326">
            <v>28</v>
          </cell>
          <cell r="B326" t="str">
            <v>PLUG 20A-3P-2W EXPLOSION-PROOF</v>
          </cell>
          <cell r="C326">
            <v>4</v>
          </cell>
          <cell r="D326" t="str">
            <v>SET</v>
          </cell>
          <cell r="E326">
            <v>1400</v>
          </cell>
          <cell r="F326">
            <v>5600</v>
          </cell>
          <cell r="H326">
            <v>0</v>
          </cell>
          <cell r="J326">
            <v>0</v>
          </cell>
          <cell r="K326">
            <v>1400</v>
          </cell>
          <cell r="L326">
            <v>5600</v>
          </cell>
          <cell r="M326">
            <v>0</v>
          </cell>
          <cell r="N326">
            <v>0</v>
          </cell>
          <cell r="O326">
            <v>0</v>
          </cell>
          <cell r="P326">
            <v>0</v>
          </cell>
        </row>
        <row r="327">
          <cell r="A327">
            <v>29</v>
          </cell>
          <cell r="B327" t="str">
            <v>FIX. WIRE 1/C STRD. COPPER 600V 200 DEGREE 2.0sq.mm</v>
          </cell>
          <cell r="C327">
            <v>4440</v>
          </cell>
          <cell r="D327" t="str">
            <v>M</v>
          </cell>
          <cell r="E327">
            <v>33</v>
          </cell>
          <cell r="F327">
            <v>146520</v>
          </cell>
          <cell r="H327">
            <v>0</v>
          </cell>
          <cell r="I327">
            <v>0.05</v>
          </cell>
          <cell r="J327">
            <v>222</v>
          </cell>
          <cell r="K327">
            <v>33</v>
          </cell>
          <cell r="L327">
            <v>146520</v>
          </cell>
          <cell r="M327">
            <v>0</v>
          </cell>
          <cell r="N327">
            <v>0</v>
          </cell>
          <cell r="O327">
            <v>14</v>
          </cell>
          <cell r="P327">
            <v>62160</v>
          </cell>
        </row>
        <row r="328">
          <cell r="A328">
            <v>30</v>
          </cell>
          <cell r="B328" t="str">
            <v>R.S.G CONDUIT W/COUPLING,  3/4"</v>
          </cell>
          <cell r="C328">
            <v>2180</v>
          </cell>
          <cell r="D328" t="str">
            <v>M</v>
          </cell>
          <cell r="E328">
            <v>32</v>
          </cell>
          <cell r="F328">
            <v>69760</v>
          </cell>
          <cell r="H328">
            <v>0</v>
          </cell>
          <cell r="I328">
            <v>0.47</v>
          </cell>
          <cell r="J328">
            <v>1025</v>
          </cell>
          <cell r="K328">
            <v>32</v>
          </cell>
          <cell r="L328">
            <v>69760</v>
          </cell>
          <cell r="M328">
            <v>0</v>
          </cell>
          <cell r="N328">
            <v>0</v>
          </cell>
          <cell r="O328">
            <v>132</v>
          </cell>
          <cell r="P328">
            <v>287760</v>
          </cell>
        </row>
        <row r="329">
          <cell r="A329">
            <v>31</v>
          </cell>
          <cell r="B329" t="str">
            <v>R.S.G CONDUIT W/COUPLING 1"</v>
          </cell>
          <cell r="C329">
            <v>100</v>
          </cell>
          <cell r="D329" t="str">
            <v>M</v>
          </cell>
          <cell r="E329">
            <v>49</v>
          </cell>
          <cell r="F329">
            <v>4900</v>
          </cell>
          <cell r="H329">
            <v>0</v>
          </cell>
          <cell r="I329">
            <v>0.54</v>
          </cell>
          <cell r="J329">
            <v>54</v>
          </cell>
          <cell r="K329">
            <v>49</v>
          </cell>
          <cell r="L329">
            <v>4900</v>
          </cell>
          <cell r="M329">
            <v>0</v>
          </cell>
          <cell r="N329">
            <v>0</v>
          </cell>
          <cell r="O329">
            <v>151</v>
          </cell>
          <cell r="P329">
            <v>15100</v>
          </cell>
        </row>
        <row r="330">
          <cell r="A330">
            <v>32</v>
          </cell>
          <cell r="B330" t="str">
            <v>R.S.G CONDUIT W/COUPLING 1-1/2"</v>
          </cell>
          <cell r="C330">
            <v>600</v>
          </cell>
          <cell r="D330" t="str">
            <v>M</v>
          </cell>
          <cell r="E330">
            <v>78</v>
          </cell>
          <cell r="F330">
            <v>46800</v>
          </cell>
          <cell r="H330">
            <v>0</v>
          </cell>
          <cell r="I330">
            <v>0.76</v>
          </cell>
          <cell r="J330">
            <v>456</v>
          </cell>
          <cell r="K330">
            <v>78</v>
          </cell>
          <cell r="L330">
            <v>46800</v>
          </cell>
          <cell r="M330">
            <v>0</v>
          </cell>
          <cell r="N330">
            <v>0</v>
          </cell>
          <cell r="O330">
            <v>213</v>
          </cell>
          <cell r="P330">
            <v>127800</v>
          </cell>
        </row>
        <row r="331">
          <cell r="A331">
            <v>33</v>
          </cell>
          <cell r="B331" t="str">
            <v>PVC CONDUIT 1-1/2"</v>
          </cell>
          <cell r="C331">
            <v>350</v>
          </cell>
          <cell r="D331" t="str">
            <v>M</v>
          </cell>
          <cell r="E331">
            <v>26</v>
          </cell>
          <cell r="F331">
            <v>9100</v>
          </cell>
          <cell r="H331">
            <v>0</v>
          </cell>
          <cell r="I331">
            <v>0.26</v>
          </cell>
          <cell r="J331">
            <v>91</v>
          </cell>
          <cell r="K331">
            <v>26</v>
          </cell>
          <cell r="L331">
            <v>9100</v>
          </cell>
          <cell r="M331">
            <v>0</v>
          </cell>
          <cell r="N331">
            <v>0</v>
          </cell>
          <cell r="O331">
            <v>73</v>
          </cell>
          <cell r="P331">
            <v>25550</v>
          </cell>
        </row>
        <row r="332">
          <cell r="A332">
            <v>34</v>
          </cell>
          <cell r="B332" t="str">
            <v>PVC CONDUIT ,  2"</v>
          </cell>
          <cell r="C332">
            <v>10615</v>
          </cell>
          <cell r="D332" t="str">
            <v>M</v>
          </cell>
          <cell r="E332">
            <v>38</v>
          </cell>
          <cell r="F332">
            <v>403370</v>
          </cell>
          <cell r="H332">
            <v>0</v>
          </cell>
          <cell r="I332">
            <v>0.3</v>
          </cell>
          <cell r="J332">
            <v>3185</v>
          </cell>
          <cell r="K332">
            <v>38</v>
          </cell>
          <cell r="L332">
            <v>403370</v>
          </cell>
          <cell r="M332">
            <v>0</v>
          </cell>
          <cell r="N332">
            <v>0</v>
          </cell>
          <cell r="O332">
            <v>84</v>
          </cell>
          <cell r="P332">
            <v>891660</v>
          </cell>
        </row>
        <row r="333">
          <cell r="A333">
            <v>35</v>
          </cell>
          <cell r="B333" t="str">
            <v>CONDUIT FITTINGS &amp; ACCESSORIES</v>
          </cell>
          <cell r="C333">
            <v>1</v>
          </cell>
          <cell r="D333" t="str">
            <v>LOT</v>
          </cell>
          <cell r="E333">
            <v>242920</v>
          </cell>
          <cell r="F333">
            <v>242920</v>
          </cell>
          <cell r="H333">
            <v>0</v>
          </cell>
          <cell r="I333">
            <v>460.5</v>
          </cell>
          <cell r="J333">
            <v>461</v>
          </cell>
          <cell r="K333">
            <v>242920</v>
          </cell>
          <cell r="L333">
            <v>242920</v>
          </cell>
          <cell r="M333">
            <v>0</v>
          </cell>
          <cell r="N333">
            <v>0</v>
          </cell>
          <cell r="O333">
            <v>128940</v>
          </cell>
          <cell r="P333">
            <v>128940</v>
          </cell>
        </row>
        <row r="334">
          <cell r="A334">
            <v>36</v>
          </cell>
          <cell r="B334" t="str">
            <v>600V PVC WIRE 3.5 sq.mm</v>
          </cell>
          <cell r="C334">
            <v>3500</v>
          </cell>
          <cell r="D334" t="str">
            <v>M</v>
          </cell>
          <cell r="E334">
            <v>3</v>
          </cell>
          <cell r="F334">
            <v>10500</v>
          </cell>
          <cell r="H334">
            <v>0</v>
          </cell>
          <cell r="I334">
            <v>4.1000000000000002E-2</v>
          </cell>
          <cell r="J334">
            <v>144</v>
          </cell>
          <cell r="K334">
            <v>3</v>
          </cell>
          <cell r="L334">
            <v>10500</v>
          </cell>
          <cell r="M334">
            <v>0</v>
          </cell>
          <cell r="N334">
            <v>0</v>
          </cell>
          <cell r="O334">
            <v>11</v>
          </cell>
          <cell r="P334">
            <v>38500</v>
          </cell>
        </row>
        <row r="335">
          <cell r="A335">
            <v>37</v>
          </cell>
          <cell r="B335" t="str">
            <v>600V PVC WIRE 5.5sq.mm</v>
          </cell>
          <cell r="C335">
            <v>3240</v>
          </cell>
          <cell r="D335" t="str">
            <v>M</v>
          </cell>
          <cell r="E335">
            <v>4</v>
          </cell>
          <cell r="F335">
            <v>12960</v>
          </cell>
          <cell r="H335">
            <v>0</v>
          </cell>
          <cell r="I335">
            <v>5.1999999999999998E-2</v>
          </cell>
          <cell r="J335">
            <v>168</v>
          </cell>
          <cell r="K335">
            <v>4</v>
          </cell>
          <cell r="L335">
            <v>12960</v>
          </cell>
          <cell r="M335">
            <v>0</v>
          </cell>
          <cell r="N335">
            <v>0</v>
          </cell>
          <cell r="O335">
            <v>15</v>
          </cell>
          <cell r="P335">
            <v>48600</v>
          </cell>
        </row>
        <row r="336">
          <cell r="A336">
            <v>38</v>
          </cell>
          <cell r="B336" t="str">
            <v>600V XLPE 5/C-38sq.mm</v>
          </cell>
          <cell r="C336">
            <v>10615</v>
          </cell>
          <cell r="D336" t="str">
            <v>M</v>
          </cell>
          <cell r="E336">
            <v>200</v>
          </cell>
          <cell r="F336">
            <v>2123000</v>
          </cell>
          <cell r="H336">
            <v>0</v>
          </cell>
          <cell r="I336">
            <v>0.31</v>
          </cell>
          <cell r="J336">
            <v>3291</v>
          </cell>
          <cell r="K336">
            <v>200</v>
          </cell>
          <cell r="L336">
            <v>2123000</v>
          </cell>
          <cell r="M336">
            <v>0</v>
          </cell>
          <cell r="N336">
            <v>0</v>
          </cell>
          <cell r="O336">
            <v>87</v>
          </cell>
          <cell r="P336">
            <v>923505</v>
          </cell>
        </row>
        <row r="337">
          <cell r="A337">
            <v>39</v>
          </cell>
          <cell r="B337" t="str">
            <v>600V XLPE 4/C 14 sq.mm</v>
          </cell>
          <cell r="C337">
            <v>500</v>
          </cell>
          <cell r="D337" t="str">
            <v>M</v>
          </cell>
          <cell r="E337">
            <v>61</v>
          </cell>
          <cell r="F337">
            <v>30500</v>
          </cell>
          <cell r="H337">
            <v>0</v>
          </cell>
          <cell r="I337">
            <v>0.17799999999999999</v>
          </cell>
          <cell r="J337">
            <v>89</v>
          </cell>
          <cell r="K337">
            <v>61</v>
          </cell>
          <cell r="L337">
            <v>30500</v>
          </cell>
          <cell r="M337">
            <v>0</v>
          </cell>
          <cell r="N337">
            <v>0</v>
          </cell>
          <cell r="O337">
            <v>50</v>
          </cell>
          <cell r="P337">
            <v>25000</v>
          </cell>
        </row>
        <row r="338">
          <cell r="A338">
            <v>40</v>
          </cell>
          <cell r="B338" t="str">
            <v>HOT DIPPED GALVALNIZED STEEL U-CHANNEL 41x41x2.0t</v>
          </cell>
          <cell r="C338">
            <v>350</v>
          </cell>
          <cell r="D338" t="str">
            <v>M</v>
          </cell>
          <cell r="E338">
            <v>82</v>
          </cell>
          <cell r="F338">
            <v>28700</v>
          </cell>
          <cell r="H338">
            <v>0</v>
          </cell>
          <cell r="I338">
            <v>0.40699999999999997</v>
          </cell>
          <cell r="J338">
            <v>142</v>
          </cell>
          <cell r="K338">
            <v>82</v>
          </cell>
          <cell r="L338">
            <v>28700</v>
          </cell>
          <cell r="M338">
            <v>0</v>
          </cell>
          <cell r="N338">
            <v>0</v>
          </cell>
          <cell r="O338">
            <v>114</v>
          </cell>
          <cell r="P338">
            <v>39900</v>
          </cell>
        </row>
        <row r="339">
          <cell r="A339">
            <v>41</v>
          </cell>
          <cell r="B339" t="str">
            <v>EXCAVATION</v>
          </cell>
          <cell r="C339">
            <v>1910</v>
          </cell>
          <cell r="D339" t="str">
            <v>M3</v>
          </cell>
          <cell r="E339" t="str">
            <v>M+L</v>
          </cell>
          <cell r="F339" t="str">
            <v>M+L</v>
          </cell>
          <cell r="H339">
            <v>0</v>
          </cell>
          <cell r="J339">
            <v>0</v>
          </cell>
          <cell r="K339" t="str">
            <v>M+L</v>
          </cell>
          <cell r="L339" t="str">
            <v>M+L</v>
          </cell>
          <cell r="M339">
            <v>0</v>
          </cell>
          <cell r="N339">
            <v>0</v>
          </cell>
          <cell r="O339">
            <v>60</v>
          </cell>
          <cell r="P339">
            <v>114600</v>
          </cell>
        </row>
        <row r="340">
          <cell r="A340">
            <v>42</v>
          </cell>
          <cell r="B340" t="str">
            <v>BACKFILL</v>
          </cell>
          <cell r="C340">
            <v>1910</v>
          </cell>
          <cell r="D340" t="str">
            <v>M3</v>
          </cell>
          <cell r="E340" t="str">
            <v>M+L</v>
          </cell>
          <cell r="F340" t="str">
            <v>M+L</v>
          </cell>
          <cell r="H340">
            <v>0</v>
          </cell>
          <cell r="J340">
            <v>0</v>
          </cell>
          <cell r="K340" t="str">
            <v>M+L</v>
          </cell>
          <cell r="L340" t="str">
            <v>M+L</v>
          </cell>
          <cell r="M340">
            <v>0</v>
          </cell>
          <cell r="N340">
            <v>0</v>
          </cell>
          <cell r="O340">
            <v>100</v>
          </cell>
          <cell r="P340">
            <v>191000</v>
          </cell>
        </row>
        <row r="341">
          <cell r="A341">
            <v>43</v>
          </cell>
          <cell r="B341" t="str">
            <v>MISCELLANEOUS MATERIALS</v>
          </cell>
          <cell r="C341">
            <v>1</v>
          </cell>
          <cell r="D341" t="str">
            <v>LOT</v>
          </cell>
          <cell r="E341">
            <v>456514</v>
          </cell>
          <cell r="F341">
            <v>456514</v>
          </cell>
          <cell r="H341">
            <v>0</v>
          </cell>
          <cell r="I341">
            <v>679.40000000000009</v>
          </cell>
          <cell r="J341">
            <v>679</v>
          </cell>
          <cell r="K341">
            <v>456514</v>
          </cell>
          <cell r="L341">
            <v>456514</v>
          </cell>
          <cell r="M341">
            <v>0</v>
          </cell>
          <cell r="N341">
            <v>0</v>
          </cell>
          <cell r="O341">
            <v>190232</v>
          </cell>
          <cell r="P341">
            <v>190232</v>
          </cell>
        </row>
        <row r="342">
          <cell r="B342" t="str">
            <v>SUB-TOTAL : (C)</v>
          </cell>
          <cell r="F342">
            <v>9586794</v>
          </cell>
          <cell r="H342">
            <v>0</v>
          </cell>
          <cell r="J342">
            <v>14267</v>
          </cell>
          <cell r="K342">
            <v>0</v>
          </cell>
          <cell r="L342">
            <v>9586794</v>
          </cell>
          <cell r="M342">
            <v>0</v>
          </cell>
          <cell r="N342">
            <v>0</v>
          </cell>
          <cell r="O342">
            <v>0</v>
          </cell>
          <cell r="P342">
            <v>4303107</v>
          </cell>
        </row>
        <row r="343">
          <cell r="H343">
            <v>0</v>
          </cell>
          <cell r="J343">
            <v>0</v>
          </cell>
          <cell r="K343">
            <v>0</v>
          </cell>
          <cell r="L343">
            <v>0</v>
          </cell>
          <cell r="M343">
            <v>0</v>
          </cell>
          <cell r="N343">
            <v>0</v>
          </cell>
          <cell r="O343">
            <v>0</v>
          </cell>
        </row>
        <row r="344">
          <cell r="F344">
            <v>0</v>
          </cell>
          <cell r="H344">
            <v>0</v>
          </cell>
          <cell r="J344">
            <v>0</v>
          </cell>
          <cell r="K344">
            <v>0</v>
          </cell>
          <cell r="L344">
            <v>0</v>
          </cell>
          <cell r="M344">
            <v>0</v>
          </cell>
          <cell r="N344">
            <v>0</v>
          </cell>
          <cell r="O344">
            <v>0</v>
          </cell>
          <cell r="P344">
            <v>0</v>
          </cell>
        </row>
        <row r="345">
          <cell r="A345" t="str">
            <v xml:space="preserve">  D.</v>
          </cell>
          <cell r="B345" t="str">
            <v>GROUNDING  SYSTEM</v>
          </cell>
          <cell r="F345">
            <v>0</v>
          </cell>
          <cell r="H345">
            <v>0</v>
          </cell>
          <cell r="J345">
            <v>0</v>
          </cell>
          <cell r="K345">
            <v>0</v>
          </cell>
          <cell r="L345">
            <v>0</v>
          </cell>
          <cell r="M345">
            <v>0</v>
          </cell>
          <cell r="N345">
            <v>0</v>
          </cell>
          <cell r="O345">
            <v>0</v>
          </cell>
          <cell r="P345">
            <v>0</v>
          </cell>
        </row>
        <row r="346">
          <cell r="A346">
            <v>1</v>
          </cell>
          <cell r="B346" t="str">
            <v xml:space="preserve"> GROUND WIRE, BARE CONDUCTOR 60 sq.mm</v>
          </cell>
          <cell r="C346">
            <v>8000</v>
          </cell>
          <cell r="D346" t="str">
            <v>M</v>
          </cell>
          <cell r="E346">
            <v>47</v>
          </cell>
          <cell r="F346">
            <v>376000</v>
          </cell>
          <cell r="H346">
            <v>0</v>
          </cell>
          <cell r="I346">
            <v>0.14099999999999999</v>
          </cell>
          <cell r="J346">
            <v>1128</v>
          </cell>
          <cell r="K346">
            <v>47</v>
          </cell>
          <cell r="L346">
            <v>376000</v>
          </cell>
          <cell r="M346">
            <v>0</v>
          </cell>
          <cell r="N346">
            <v>0</v>
          </cell>
          <cell r="O346">
            <v>39</v>
          </cell>
          <cell r="P346">
            <v>312000</v>
          </cell>
        </row>
        <row r="347">
          <cell r="A347">
            <v>2</v>
          </cell>
          <cell r="B347" t="str">
            <v xml:space="preserve"> DITTO, BUT38 sq.mm</v>
          </cell>
          <cell r="C347">
            <v>620</v>
          </cell>
          <cell r="D347" t="str">
            <v>M</v>
          </cell>
          <cell r="E347">
            <v>32</v>
          </cell>
          <cell r="F347">
            <v>19840</v>
          </cell>
          <cell r="H347">
            <v>0</v>
          </cell>
          <cell r="I347">
            <v>0.11700000000000001</v>
          </cell>
          <cell r="J347">
            <v>73</v>
          </cell>
          <cell r="K347">
            <v>32</v>
          </cell>
          <cell r="L347">
            <v>19840</v>
          </cell>
          <cell r="M347">
            <v>0</v>
          </cell>
          <cell r="N347">
            <v>0</v>
          </cell>
          <cell r="O347">
            <v>33</v>
          </cell>
          <cell r="P347">
            <v>20460</v>
          </cell>
        </row>
        <row r="348">
          <cell r="A348">
            <v>3</v>
          </cell>
          <cell r="B348" t="str">
            <v xml:space="preserve"> GROUND ROD, 3/4" x 10 FT</v>
          </cell>
          <cell r="C348">
            <v>208</v>
          </cell>
          <cell r="D348" t="str">
            <v>PCS</v>
          </cell>
          <cell r="E348">
            <v>350</v>
          </cell>
          <cell r="F348">
            <v>72800</v>
          </cell>
          <cell r="H348">
            <v>0</v>
          </cell>
          <cell r="I348">
            <v>5</v>
          </cell>
          <cell r="J348">
            <v>1040</v>
          </cell>
          <cell r="K348">
            <v>350</v>
          </cell>
          <cell r="L348">
            <v>72800</v>
          </cell>
          <cell r="M348">
            <v>0</v>
          </cell>
          <cell r="N348">
            <v>0</v>
          </cell>
          <cell r="O348">
            <v>1400</v>
          </cell>
          <cell r="P348">
            <v>291200</v>
          </cell>
        </row>
        <row r="349">
          <cell r="A349">
            <v>4</v>
          </cell>
          <cell r="B349" t="str">
            <v xml:space="preserve"> CADWELD GROUND POWDER CARTRIDGE SIZE 45</v>
          </cell>
          <cell r="C349">
            <v>170</v>
          </cell>
          <cell r="D349" t="str">
            <v>PCS</v>
          </cell>
          <cell r="E349">
            <v>45</v>
          </cell>
          <cell r="F349">
            <v>7650</v>
          </cell>
          <cell r="H349">
            <v>0</v>
          </cell>
          <cell r="I349">
            <v>0.5</v>
          </cell>
          <cell r="J349">
            <v>85</v>
          </cell>
          <cell r="K349">
            <v>45</v>
          </cell>
          <cell r="L349">
            <v>7650</v>
          </cell>
          <cell r="M349">
            <v>0</v>
          </cell>
          <cell r="N349">
            <v>0</v>
          </cell>
          <cell r="O349">
            <v>140</v>
          </cell>
          <cell r="P349">
            <v>23800</v>
          </cell>
        </row>
        <row r="350">
          <cell r="A350">
            <v>5</v>
          </cell>
          <cell r="B350" t="str">
            <v xml:space="preserve"> CADWELD GROUND POWDER CARTRIDGE SIZE 90</v>
          </cell>
          <cell r="C350">
            <v>93</v>
          </cell>
          <cell r="D350" t="str">
            <v>PCS</v>
          </cell>
          <cell r="E350">
            <v>90</v>
          </cell>
          <cell r="F350">
            <v>8370</v>
          </cell>
          <cell r="H350">
            <v>0</v>
          </cell>
          <cell r="I350">
            <v>0.5</v>
          </cell>
          <cell r="J350">
            <v>47</v>
          </cell>
          <cell r="K350">
            <v>90</v>
          </cell>
          <cell r="L350">
            <v>8370</v>
          </cell>
          <cell r="M350">
            <v>0</v>
          </cell>
          <cell r="N350">
            <v>0</v>
          </cell>
          <cell r="O350">
            <v>140</v>
          </cell>
          <cell r="P350">
            <v>13020</v>
          </cell>
        </row>
        <row r="351">
          <cell r="A351">
            <v>6</v>
          </cell>
          <cell r="B351" t="str">
            <v xml:space="preserve"> CADWELD GROUND POWDER CARTRIDGE SIZE 115</v>
          </cell>
          <cell r="C351">
            <v>159</v>
          </cell>
          <cell r="D351" t="str">
            <v>PCS</v>
          </cell>
          <cell r="E351">
            <v>115</v>
          </cell>
          <cell r="F351">
            <v>18285</v>
          </cell>
          <cell r="H351">
            <v>0</v>
          </cell>
          <cell r="I351">
            <v>0.5</v>
          </cell>
          <cell r="J351">
            <v>80</v>
          </cell>
          <cell r="K351">
            <v>115</v>
          </cell>
          <cell r="L351">
            <v>18285</v>
          </cell>
          <cell r="M351">
            <v>0</v>
          </cell>
          <cell r="N351">
            <v>0</v>
          </cell>
          <cell r="O351">
            <v>140</v>
          </cell>
          <cell r="P351">
            <v>22260</v>
          </cell>
        </row>
        <row r="352">
          <cell r="A352">
            <v>7</v>
          </cell>
          <cell r="B352" t="str">
            <v xml:space="preserve"> CADWELD MOLD, FOR CABLE TO GROUND ROD</v>
          </cell>
          <cell r="C352">
            <v>10</v>
          </cell>
          <cell r="D352" t="str">
            <v>PCS</v>
          </cell>
          <cell r="E352">
            <v>1250</v>
          </cell>
          <cell r="F352">
            <v>12500</v>
          </cell>
          <cell r="H352">
            <v>0</v>
          </cell>
          <cell r="J352">
            <v>0</v>
          </cell>
          <cell r="K352">
            <v>1250</v>
          </cell>
          <cell r="L352">
            <v>12500</v>
          </cell>
          <cell r="M352">
            <v>0</v>
          </cell>
          <cell r="N352">
            <v>0</v>
          </cell>
          <cell r="O352">
            <v>0</v>
          </cell>
          <cell r="P352">
            <v>0</v>
          </cell>
        </row>
        <row r="353">
          <cell r="B353" t="str">
            <v xml:space="preserve"> CADWELD GTC-182G</v>
          </cell>
          <cell r="F353">
            <v>0</v>
          </cell>
          <cell r="H353">
            <v>0</v>
          </cell>
          <cell r="J353">
            <v>0</v>
          </cell>
          <cell r="K353">
            <v>0</v>
          </cell>
          <cell r="L353">
            <v>0</v>
          </cell>
          <cell r="M353">
            <v>0</v>
          </cell>
          <cell r="N353">
            <v>0</v>
          </cell>
          <cell r="O353">
            <v>0</v>
          </cell>
          <cell r="P353">
            <v>0</v>
          </cell>
        </row>
        <row r="354">
          <cell r="A354">
            <v>8</v>
          </cell>
          <cell r="B354" t="str">
            <v xml:space="preserve"> CADWELD MOLD, FOR CABLE TO CABLE</v>
          </cell>
          <cell r="C354">
            <v>5</v>
          </cell>
          <cell r="D354" t="str">
            <v>PCS</v>
          </cell>
          <cell r="E354">
            <v>1250</v>
          </cell>
          <cell r="F354">
            <v>6250</v>
          </cell>
          <cell r="H354">
            <v>0</v>
          </cell>
          <cell r="J354">
            <v>0</v>
          </cell>
          <cell r="K354">
            <v>1250</v>
          </cell>
          <cell r="L354">
            <v>6250</v>
          </cell>
          <cell r="M354">
            <v>0</v>
          </cell>
          <cell r="N354">
            <v>0</v>
          </cell>
          <cell r="O354">
            <v>0</v>
          </cell>
          <cell r="P354">
            <v>0</v>
          </cell>
        </row>
        <row r="355">
          <cell r="B355" t="str">
            <v xml:space="preserve"> CADWELD TAC-2G2G</v>
          </cell>
          <cell r="F355">
            <v>0</v>
          </cell>
          <cell r="H355">
            <v>0</v>
          </cell>
          <cell r="J355">
            <v>0</v>
          </cell>
          <cell r="K355">
            <v>0</v>
          </cell>
          <cell r="L355">
            <v>0</v>
          </cell>
          <cell r="M355">
            <v>0</v>
          </cell>
          <cell r="N355">
            <v>0</v>
          </cell>
          <cell r="O355">
            <v>0</v>
          </cell>
          <cell r="P355">
            <v>0</v>
          </cell>
        </row>
        <row r="356">
          <cell r="A356">
            <v>9</v>
          </cell>
          <cell r="B356" t="str">
            <v xml:space="preserve"> DITTO, BUT CADWELD TAC-2G1V</v>
          </cell>
          <cell r="C356">
            <v>10</v>
          </cell>
          <cell r="D356" t="str">
            <v>PCS</v>
          </cell>
          <cell r="E356">
            <v>1250</v>
          </cell>
          <cell r="F356">
            <v>12500</v>
          </cell>
          <cell r="H356">
            <v>0</v>
          </cell>
          <cell r="J356">
            <v>0</v>
          </cell>
          <cell r="K356">
            <v>1250</v>
          </cell>
          <cell r="L356">
            <v>12500</v>
          </cell>
          <cell r="M356">
            <v>0</v>
          </cell>
          <cell r="N356">
            <v>0</v>
          </cell>
          <cell r="O356">
            <v>0</v>
          </cell>
          <cell r="P356">
            <v>0</v>
          </cell>
        </row>
        <row r="357">
          <cell r="A357">
            <v>10</v>
          </cell>
          <cell r="B357" t="str">
            <v xml:space="preserve"> GROUND CONNECTOR FOR CABLE TO ROD OR PIPE</v>
          </cell>
          <cell r="C357">
            <v>50</v>
          </cell>
          <cell r="D357" t="str">
            <v>PCS</v>
          </cell>
          <cell r="E357">
            <v>650</v>
          </cell>
          <cell r="F357">
            <v>32500</v>
          </cell>
          <cell r="H357">
            <v>0</v>
          </cell>
          <cell r="I357">
            <v>1</v>
          </cell>
          <cell r="J357">
            <v>50</v>
          </cell>
          <cell r="K357">
            <v>650</v>
          </cell>
          <cell r="L357">
            <v>32500</v>
          </cell>
          <cell r="M357">
            <v>0</v>
          </cell>
          <cell r="N357">
            <v>0</v>
          </cell>
          <cell r="O357">
            <v>280</v>
          </cell>
          <cell r="P357">
            <v>14000</v>
          </cell>
        </row>
        <row r="358">
          <cell r="B358" t="str">
            <v xml:space="preserve"> BURNDY GK-6429</v>
          </cell>
          <cell r="F358">
            <v>0</v>
          </cell>
          <cell r="H358">
            <v>0</v>
          </cell>
          <cell r="J358">
            <v>0</v>
          </cell>
          <cell r="K358">
            <v>0</v>
          </cell>
          <cell r="L358">
            <v>0</v>
          </cell>
          <cell r="M358">
            <v>0</v>
          </cell>
          <cell r="N358">
            <v>0</v>
          </cell>
          <cell r="O358">
            <v>0</v>
          </cell>
          <cell r="P358">
            <v>0</v>
          </cell>
        </row>
        <row r="359">
          <cell r="A359">
            <v>11</v>
          </cell>
          <cell r="B359" t="str">
            <v xml:space="preserve"> GROUND TERMINAL BOX, 450MMx300MMx150MMx1.6t WITH</v>
          </cell>
          <cell r="C359">
            <v>25</v>
          </cell>
          <cell r="D359" t="str">
            <v>SET</v>
          </cell>
          <cell r="E359">
            <v>3500</v>
          </cell>
          <cell r="F359">
            <v>87500</v>
          </cell>
          <cell r="H359">
            <v>0</v>
          </cell>
          <cell r="I359">
            <v>6</v>
          </cell>
          <cell r="J359">
            <v>150</v>
          </cell>
          <cell r="K359">
            <v>3500</v>
          </cell>
          <cell r="L359">
            <v>87500</v>
          </cell>
          <cell r="M359">
            <v>0</v>
          </cell>
          <cell r="N359">
            <v>0</v>
          </cell>
          <cell r="O359">
            <v>1680</v>
          </cell>
          <cell r="P359">
            <v>42000</v>
          </cell>
        </row>
        <row r="360">
          <cell r="B360" t="str">
            <v>GROUNDING BUS 300Mx50MMx6t</v>
          </cell>
          <cell r="F360">
            <v>0</v>
          </cell>
          <cell r="H360">
            <v>0</v>
          </cell>
          <cell r="J360">
            <v>0</v>
          </cell>
          <cell r="K360">
            <v>0</v>
          </cell>
          <cell r="L360">
            <v>0</v>
          </cell>
          <cell r="M360">
            <v>0</v>
          </cell>
          <cell r="N360">
            <v>0</v>
          </cell>
          <cell r="O360">
            <v>0</v>
          </cell>
          <cell r="P360">
            <v>0</v>
          </cell>
        </row>
        <row r="361">
          <cell r="A361">
            <v>12</v>
          </cell>
          <cell r="B361" t="str">
            <v xml:space="preserve"> CABLE LUG, COPPER FOR 60 sq.mm</v>
          </cell>
          <cell r="C361">
            <v>92</v>
          </cell>
          <cell r="D361" t="str">
            <v>PCS</v>
          </cell>
          <cell r="E361">
            <v>60</v>
          </cell>
          <cell r="F361">
            <v>5520</v>
          </cell>
          <cell r="H361">
            <v>0</v>
          </cell>
          <cell r="I361">
            <v>0.5</v>
          </cell>
          <cell r="J361">
            <v>46</v>
          </cell>
          <cell r="K361">
            <v>60</v>
          </cell>
          <cell r="L361">
            <v>5520</v>
          </cell>
          <cell r="M361">
            <v>0</v>
          </cell>
          <cell r="N361">
            <v>0</v>
          </cell>
          <cell r="O361">
            <v>140</v>
          </cell>
          <cell r="P361">
            <v>12880</v>
          </cell>
        </row>
        <row r="362">
          <cell r="A362">
            <v>13</v>
          </cell>
          <cell r="B362" t="str">
            <v xml:space="preserve"> DITTO, BUT FOR 38 sq.mm</v>
          </cell>
          <cell r="C362">
            <v>169</v>
          </cell>
          <cell r="D362" t="str">
            <v>PCS</v>
          </cell>
          <cell r="E362">
            <v>38</v>
          </cell>
          <cell r="F362">
            <v>6422</v>
          </cell>
          <cell r="H362">
            <v>0</v>
          </cell>
          <cell r="I362">
            <v>0.5</v>
          </cell>
          <cell r="J362">
            <v>85</v>
          </cell>
          <cell r="K362">
            <v>38</v>
          </cell>
          <cell r="L362">
            <v>6422</v>
          </cell>
          <cell r="M362">
            <v>0</v>
          </cell>
          <cell r="N362">
            <v>0</v>
          </cell>
          <cell r="O362">
            <v>140</v>
          </cell>
          <cell r="P362">
            <v>23660</v>
          </cell>
        </row>
        <row r="363">
          <cell r="A363">
            <v>14</v>
          </cell>
          <cell r="B363" t="str">
            <v xml:space="preserve"> CONCRETE PIPE WITH COVER 12" DIA. 2 FT LG</v>
          </cell>
          <cell r="C363">
            <v>50</v>
          </cell>
          <cell r="D363" t="str">
            <v>PCS</v>
          </cell>
          <cell r="E363">
            <v>2800</v>
          </cell>
          <cell r="F363">
            <v>140000</v>
          </cell>
          <cell r="H363">
            <v>0</v>
          </cell>
          <cell r="I363">
            <v>3</v>
          </cell>
          <cell r="J363">
            <v>150</v>
          </cell>
          <cell r="K363">
            <v>2800</v>
          </cell>
          <cell r="L363">
            <v>140000</v>
          </cell>
          <cell r="M363">
            <v>0</v>
          </cell>
          <cell r="N363">
            <v>0</v>
          </cell>
          <cell r="O363">
            <v>840</v>
          </cell>
          <cell r="P363">
            <v>42000</v>
          </cell>
        </row>
        <row r="364">
          <cell r="A364">
            <v>15</v>
          </cell>
          <cell r="B364" t="str">
            <v xml:space="preserve"> STEEL PLATE, SS41, 1829x6401x6t</v>
          </cell>
          <cell r="C364">
            <v>1</v>
          </cell>
          <cell r="D364" t="str">
            <v>PCS</v>
          </cell>
          <cell r="E364">
            <v>10000</v>
          </cell>
          <cell r="F364">
            <v>10000</v>
          </cell>
          <cell r="H364">
            <v>0</v>
          </cell>
          <cell r="I364">
            <v>20</v>
          </cell>
          <cell r="J364">
            <v>20</v>
          </cell>
          <cell r="K364">
            <v>10000</v>
          </cell>
          <cell r="L364">
            <v>10000</v>
          </cell>
          <cell r="M364">
            <v>0</v>
          </cell>
          <cell r="N364">
            <v>0</v>
          </cell>
          <cell r="O364">
            <v>5600</v>
          </cell>
          <cell r="P364">
            <v>5600</v>
          </cell>
        </row>
        <row r="365">
          <cell r="A365">
            <v>16</v>
          </cell>
          <cell r="B365" t="str">
            <v xml:space="preserve"> CONDUIT CLAMP, ONE-HOLE 3/4"</v>
          </cell>
          <cell r="C365">
            <v>265</v>
          </cell>
          <cell r="D365" t="str">
            <v>PCS</v>
          </cell>
          <cell r="E365">
            <v>4</v>
          </cell>
          <cell r="F365">
            <v>1060</v>
          </cell>
          <cell r="H365">
            <v>0</v>
          </cell>
          <cell r="I365">
            <v>0.5</v>
          </cell>
          <cell r="J365">
            <v>133</v>
          </cell>
          <cell r="K365">
            <v>4</v>
          </cell>
          <cell r="L365">
            <v>1060</v>
          </cell>
          <cell r="M365">
            <v>0</v>
          </cell>
          <cell r="N365">
            <v>0</v>
          </cell>
          <cell r="O365">
            <v>140</v>
          </cell>
          <cell r="P365">
            <v>37100</v>
          </cell>
        </row>
        <row r="366">
          <cell r="A366">
            <v>17</v>
          </cell>
          <cell r="B366" t="str">
            <v xml:space="preserve"> PVC CONDUIT, SCHEDULE B, CNS1302  3/4"</v>
          </cell>
          <cell r="C366">
            <v>265</v>
          </cell>
          <cell r="D366" t="str">
            <v>M</v>
          </cell>
          <cell r="E366">
            <v>12</v>
          </cell>
          <cell r="F366">
            <v>3180</v>
          </cell>
          <cell r="H366">
            <v>0</v>
          </cell>
          <cell r="I366">
            <v>0.28000000000000003</v>
          </cell>
          <cell r="J366">
            <v>74</v>
          </cell>
          <cell r="K366">
            <v>12</v>
          </cell>
          <cell r="L366">
            <v>3180</v>
          </cell>
          <cell r="M366">
            <v>0</v>
          </cell>
          <cell r="N366">
            <v>0</v>
          </cell>
          <cell r="O366">
            <v>78</v>
          </cell>
          <cell r="P366">
            <v>20670</v>
          </cell>
        </row>
        <row r="367">
          <cell r="A367">
            <v>18</v>
          </cell>
          <cell r="B367" t="str">
            <v xml:space="preserve"> EXCAVATION</v>
          </cell>
          <cell r="C367">
            <v>1550</v>
          </cell>
          <cell r="D367" t="str">
            <v>M3</v>
          </cell>
          <cell r="E367" t="str">
            <v>M+L</v>
          </cell>
          <cell r="F367" t="str">
            <v>M+L</v>
          </cell>
          <cell r="H367">
            <v>0</v>
          </cell>
          <cell r="J367">
            <v>0</v>
          </cell>
          <cell r="K367" t="str">
            <v>M+L</v>
          </cell>
          <cell r="L367" t="str">
            <v>M+L</v>
          </cell>
          <cell r="M367">
            <v>0</v>
          </cell>
          <cell r="N367">
            <v>0</v>
          </cell>
          <cell r="O367">
            <v>72</v>
          </cell>
          <cell r="P367">
            <v>111600</v>
          </cell>
        </row>
        <row r="368">
          <cell r="A368">
            <v>19</v>
          </cell>
          <cell r="B368" t="str">
            <v xml:space="preserve"> BACKFILL</v>
          </cell>
          <cell r="C368">
            <v>1550</v>
          </cell>
          <cell r="D368" t="str">
            <v>M3</v>
          </cell>
          <cell r="E368" t="str">
            <v>M+L</v>
          </cell>
          <cell r="F368" t="str">
            <v>M+L</v>
          </cell>
          <cell r="H368">
            <v>0</v>
          </cell>
          <cell r="J368">
            <v>0</v>
          </cell>
          <cell r="K368" t="str">
            <v>M+L</v>
          </cell>
          <cell r="L368" t="str">
            <v>M+L</v>
          </cell>
          <cell r="M368">
            <v>0</v>
          </cell>
          <cell r="N368">
            <v>0</v>
          </cell>
          <cell r="O368">
            <v>120</v>
          </cell>
          <cell r="P368">
            <v>186000</v>
          </cell>
        </row>
        <row r="369">
          <cell r="A369">
            <v>20</v>
          </cell>
          <cell r="B369" t="str">
            <v xml:space="preserve"> MISCELLANEOUS MATERIALS</v>
          </cell>
          <cell r="C369">
            <v>1</v>
          </cell>
          <cell r="D369" t="str">
            <v>LOT</v>
          </cell>
          <cell r="E369">
            <v>82037.700000000012</v>
          </cell>
          <cell r="F369">
            <v>82038</v>
          </cell>
          <cell r="H369">
            <v>0</v>
          </cell>
          <cell r="I369">
            <v>316.10000000000002</v>
          </cell>
          <cell r="J369">
            <v>316</v>
          </cell>
          <cell r="K369">
            <v>82038</v>
          </cell>
          <cell r="L369">
            <v>82038</v>
          </cell>
          <cell r="M369">
            <v>0</v>
          </cell>
          <cell r="N369">
            <v>0</v>
          </cell>
          <cell r="O369">
            <v>88508</v>
          </cell>
          <cell r="P369">
            <v>88508</v>
          </cell>
        </row>
        <row r="370">
          <cell r="B370" t="str">
            <v>SUB-TOTAL : (D)</v>
          </cell>
          <cell r="F370">
            <v>902415</v>
          </cell>
          <cell r="H370">
            <v>0</v>
          </cell>
          <cell r="J370">
            <v>3477</v>
          </cell>
          <cell r="K370">
            <v>0</v>
          </cell>
          <cell r="L370">
            <v>902415</v>
          </cell>
          <cell r="M370">
            <v>0</v>
          </cell>
          <cell r="N370">
            <v>0</v>
          </cell>
          <cell r="O370">
            <v>0</v>
          </cell>
          <cell r="P370">
            <v>1266758</v>
          </cell>
        </row>
        <row r="371">
          <cell r="F371">
            <v>0</v>
          </cell>
          <cell r="H371">
            <v>0</v>
          </cell>
          <cell r="J371">
            <v>0</v>
          </cell>
          <cell r="K371">
            <v>0</v>
          </cell>
          <cell r="L371">
            <v>0</v>
          </cell>
          <cell r="M371">
            <v>0</v>
          </cell>
          <cell r="N371">
            <v>0</v>
          </cell>
          <cell r="O371">
            <v>0</v>
          </cell>
          <cell r="P371">
            <v>0</v>
          </cell>
        </row>
        <row r="372">
          <cell r="F372">
            <v>0</v>
          </cell>
          <cell r="H372">
            <v>0</v>
          </cell>
          <cell r="J372">
            <v>0</v>
          </cell>
          <cell r="K372">
            <v>0</v>
          </cell>
          <cell r="L372">
            <v>0</v>
          </cell>
          <cell r="M372">
            <v>0</v>
          </cell>
          <cell r="N372">
            <v>0</v>
          </cell>
          <cell r="O372">
            <v>0</v>
          </cell>
          <cell r="P372">
            <v>0</v>
          </cell>
        </row>
        <row r="373">
          <cell r="D373" t="str">
            <v xml:space="preserve"> </v>
          </cell>
          <cell r="F373">
            <v>0</v>
          </cell>
          <cell r="H373">
            <v>0</v>
          </cell>
          <cell r="J373">
            <v>0</v>
          </cell>
          <cell r="K373">
            <v>0</v>
          </cell>
          <cell r="L373">
            <v>0</v>
          </cell>
          <cell r="M373">
            <v>0</v>
          </cell>
          <cell r="N373">
            <v>0</v>
          </cell>
          <cell r="O373">
            <v>0</v>
          </cell>
          <cell r="P373">
            <v>0</v>
          </cell>
        </row>
        <row r="374">
          <cell r="A374" t="str">
            <v>E.</v>
          </cell>
          <cell r="B374" t="str">
            <v>TELEPHONE SYSTEM(全廠區建築物間之管線)</v>
          </cell>
          <cell r="F374">
            <v>0</v>
          </cell>
          <cell r="H374">
            <v>0</v>
          </cell>
          <cell r="J374">
            <v>0</v>
          </cell>
          <cell r="K374">
            <v>0</v>
          </cell>
          <cell r="L374">
            <v>0</v>
          </cell>
          <cell r="M374">
            <v>0</v>
          </cell>
          <cell r="N374">
            <v>0</v>
          </cell>
          <cell r="O374">
            <v>0</v>
          </cell>
          <cell r="P374">
            <v>0</v>
          </cell>
        </row>
        <row r="375">
          <cell r="A375">
            <v>1</v>
          </cell>
          <cell r="B375" t="str">
            <v>PABX , W/100 EXTENSION , 10 TRUNK LINE</v>
          </cell>
          <cell r="C375">
            <v>1</v>
          </cell>
          <cell r="D375" t="str">
            <v>SET</v>
          </cell>
          <cell r="E375">
            <v>380000</v>
          </cell>
          <cell r="F375">
            <v>380000</v>
          </cell>
          <cell r="H375">
            <v>0</v>
          </cell>
          <cell r="I375">
            <v>40</v>
          </cell>
          <cell r="J375">
            <v>40</v>
          </cell>
          <cell r="K375">
            <v>380000</v>
          </cell>
          <cell r="L375">
            <v>380000</v>
          </cell>
          <cell r="M375">
            <v>0</v>
          </cell>
          <cell r="N375">
            <v>0</v>
          </cell>
          <cell r="O375">
            <v>11200</v>
          </cell>
          <cell r="P375">
            <v>11200</v>
          </cell>
        </row>
        <row r="376">
          <cell r="A376">
            <v>2</v>
          </cell>
          <cell r="B376" t="str">
            <v xml:space="preserve"> TELEPHONE CABLE, SOLID COPPER PVBC INSU. 5 PAIRS</v>
          </cell>
          <cell r="C376">
            <v>1300</v>
          </cell>
          <cell r="D376" t="str">
            <v>M</v>
          </cell>
          <cell r="E376">
            <v>14</v>
          </cell>
          <cell r="F376">
            <v>18200</v>
          </cell>
          <cell r="H376">
            <v>0</v>
          </cell>
          <cell r="I376">
            <v>8.5999999999999993E-2</v>
          </cell>
          <cell r="J376">
            <v>112</v>
          </cell>
          <cell r="K376">
            <v>14</v>
          </cell>
          <cell r="L376">
            <v>18200</v>
          </cell>
          <cell r="M376">
            <v>0</v>
          </cell>
          <cell r="N376">
            <v>0</v>
          </cell>
          <cell r="O376">
            <v>24</v>
          </cell>
          <cell r="P376">
            <v>31200</v>
          </cell>
        </row>
        <row r="377">
          <cell r="A377">
            <v>3</v>
          </cell>
          <cell r="B377" t="str">
            <v xml:space="preserve"> DITTO, BUT 10 PAIRS</v>
          </cell>
          <cell r="C377">
            <v>250</v>
          </cell>
          <cell r="D377" t="str">
            <v>M</v>
          </cell>
          <cell r="E377">
            <v>30</v>
          </cell>
          <cell r="F377">
            <v>7500</v>
          </cell>
          <cell r="H377">
            <v>0</v>
          </cell>
          <cell r="I377">
            <v>0.122</v>
          </cell>
          <cell r="J377">
            <v>31</v>
          </cell>
          <cell r="K377">
            <v>30</v>
          </cell>
          <cell r="L377">
            <v>7500</v>
          </cell>
          <cell r="M377">
            <v>0</v>
          </cell>
          <cell r="N377">
            <v>0</v>
          </cell>
          <cell r="O377">
            <v>34</v>
          </cell>
          <cell r="P377">
            <v>8500</v>
          </cell>
        </row>
        <row r="378">
          <cell r="A378">
            <v>4</v>
          </cell>
          <cell r="B378" t="str">
            <v xml:space="preserve"> DITTO, BUT 30 PAIRS</v>
          </cell>
          <cell r="C378">
            <v>300</v>
          </cell>
          <cell r="D378" t="str">
            <v>M</v>
          </cell>
          <cell r="E378">
            <v>80</v>
          </cell>
          <cell r="F378">
            <v>24000</v>
          </cell>
          <cell r="H378">
            <v>0</v>
          </cell>
          <cell r="I378">
            <v>0.20599999999999999</v>
          </cell>
          <cell r="J378">
            <v>62</v>
          </cell>
          <cell r="K378">
            <v>80</v>
          </cell>
          <cell r="L378">
            <v>24000</v>
          </cell>
          <cell r="M378">
            <v>0</v>
          </cell>
          <cell r="N378">
            <v>0</v>
          </cell>
          <cell r="O378">
            <v>58</v>
          </cell>
          <cell r="P378">
            <v>17400</v>
          </cell>
        </row>
        <row r="379">
          <cell r="A379">
            <v>4</v>
          </cell>
          <cell r="B379" t="str">
            <v xml:space="preserve"> DITTO, BUT 50 PAIRS</v>
          </cell>
          <cell r="C379">
            <v>400</v>
          </cell>
          <cell r="D379" t="str">
            <v>M</v>
          </cell>
          <cell r="E379">
            <v>133</v>
          </cell>
          <cell r="F379">
            <v>53200</v>
          </cell>
          <cell r="H379">
            <v>0</v>
          </cell>
          <cell r="I379">
            <v>0.25600000000000001</v>
          </cell>
          <cell r="J379">
            <v>102</v>
          </cell>
          <cell r="K379">
            <v>133</v>
          </cell>
          <cell r="L379">
            <v>53200</v>
          </cell>
          <cell r="M379">
            <v>0</v>
          </cell>
          <cell r="N379">
            <v>0</v>
          </cell>
          <cell r="O379">
            <v>72</v>
          </cell>
          <cell r="P379">
            <v>28800</v>
          </cell>
        </row>
        <row r="380">
          <cell r="A380">
            <v>5</v>
          </cell>
          <cell r="B380" t="str">
            <v xml:space="preserve"> MISCELLANEOUS MATERIALS</v>
          </cell>
          <cell r="C380">
            <v>1</v>
          </cell>
          <cell r="D380" t="str">
            <v>LOT</v>
          </cell>
          <cell r="E380">
            <v>10290</v>
          </cell>
          <cell r="F380">
            <v>10290</v>
          </cell>
          <cell r="H380">
            <v>0</v>
          </cell>
          <cell r="I380">
            <v>105</v>
          </cell>
          <cell r="J380">
            <v>105</v>
          </cell>
          <cell r="K380">
            <v>10290</v>
          </cell>
          <cell r="L380">
            <v>10290</v>
          </cell>
          <cell r="M380">
            <v>0</v>
          </cell>
          <cell r="N380">
            <v>0</v>
          </cell>
          <cell r="O380">
            <v>29400</v>
          </cell>
          <cell r="P380">
            <v>29400</v>
          </cell>
        </row>
        <row r="381">
          <cell r="B381" t="str">
            <v>SUB-TOTAL : (E)</v>
          </cell>
          <cell r="F381">
            <v>493190</v>
          </cell>
          <cell r="H381">
            <v>0</v>
          </cell>
          <cell r="J381">
            <v>452</v>
          </cell>
          <cell r="K381">
            <v>0</v>
          </cell>
          <cell r="L381">
            <v>493190</v>
          </cell>
          <cell r="M381">
            <v>0</v>
          </cell>
          <cell r="N381">
            <v>0</v>
          </cell>
          <cell r="O381">
            <v>0</v>
          </cell>
          <cell r="P381">
            <v>126500</v>
          </cell>
        </row>
        <row r="382">
          <cell r="F382">
            <v>0</v>
          </cell>
          <cell r="H382">
            <v>0</v>
          </cell>
          <cell r="J382">
            <v>0</v>
          </cell>
          <cell r="K382">
            <v>0</v>
          </cell>
          <cell r="L382">
            <v>0</v>
          </cell>
          <cell r="M382">
            <v>0</v>
          </cell>
          <cell r="N382">
            <v>0</v>
          </cell>
          <cell r="O382">
            <v>0</v>
          </cell>
          <cell r="P382">
            <v>0</v>
          </cell>
        </row>
        <row r="383">
          <cell r="F383">
            <v>0</v>
          </cell>
          <cell r="H383">
            <v>0</v>
          </cell>
          <cell r="J383">
            <v>0</v>
          </cell>
          <cell r="K383">
            <v>0</v>
          </cell>
          <cell r="L383">
            <v>0</v>
          </cell>
          <cell r="M383">
            <v>0</v>
          </cell>
          <cell r="N383">
            <v>0</v>
          </cell>
          <cell r="O383">
            <v>0</v>
          </cell>
          <cell r="P383">
            <v>0</v>
          </cell>
        </row>
        <row r="384">
          <cell r="A384" t="str">
            <v>F.</v>
          </cell>
          <cell r="B384" t="str">
            <v>PAGE/INTERCOMMUNICATION SYSTEM</v>
          </cell>
          <cell r="D384" t="str">
            <v xml:space="preserve"> </v>
          </cell>
          <cell r="F384">
            <v>0</v>
          </cell>
          <cell r="H384">
            <v>0</v>
          </cell>
          <cell r="J384">
            <v>0</v>
          </cell>
          <cell r="K384">
            <v>0</v>
          </cell>
          <cell r="L384">
            <v>0</v>
          </cell>
          <cell r="M384">
            <v>0</v>
          </cell>
          <cell r="N384">
            <v>0</v>
          </cell>
          <cell r="O384">
            <v>0</v>
          </cell>
          <cell r="P384">
            <v>0</v>
          </cell>
        </row>
        <row r="385">
          <cell r="A385">
            <v>1</v>
          </cell>
          <cell r="B385" t="str">
            <v xml:space="preserve"> PAGE/PARTY STATION, SINGLE PARTY LINE</v>
          </cell>
          <cell r="C385">
            <v>10</v>
          </cell>
          <cell r="D385" t="str">
            <v>SET</v>
          </cell>
          <cell r="E385">
            <v>19700</v>
          </cell>
          <cell r="F385">
            <v>197000</v>
          </cell>
          <cell r="H385">
            <v>0</v>
          </cell>
          <cell r="I385">
            <v>12</v>
          </cell>
          <cell r="J385">
            <v>120</v>
          </cell>
          <cell r="K385">
            <v>19700</v>
          </cell>
          <cell r="L385">
            <v>197000</v>
          </cell>
          <cell r="M385">
            <v>0</v>
          </cell>
          <cell r="N385">
            <v>0</v>
          </cell>
          <cell r="O385">
            <v>3360</v>
          </cell>
          <cell r="P385">
            <v>33600</v>
          </cell>
        </row>
        <row r="386">
          <cell r="B386" t="str">
            <v xml:space="preserve"> CL.1, DIV.2 , G-T #730-104 OR EQUAL</v>
          </cell>
          <cell r="F386">
            <v>0</v>
          </cell>
          <cell r="H386">
            <v>0</v>
          </cell>
          <cell r="J386">
            <v>0</v>
          </cell>
          <cell r="K386">
            <v>0</v>
          </cell>
          <cell r="L386">
            <v>0</v>
          </cell>
          <cell r="M386">
            <v>0</v>
          </cell>
          <cell r="N386">
            <v>0</v>
          </cell>
          <cell r="O386">
            <v>0</v>
          </cell>
          <cell r="P386">
            <v>0</v>
          </cell>
        </row>
        <row r="387">
          <cell r="A387">
            <v>2</v>
          </cell>
          <cell r="B387" t="str">
            <v>DITTO, BUT INDOOR TYPE, G-T #700-102</v>
          </cell>
          <cell r="C387">
            <v>4</v>
          </cell>
          <cell r="D387" t="str">
            <v>SET</v>
          </cell>
          <cell r="E387">
            <v>17800</v>
          </cell>
          <cell r="F387">
            <v>71200</v>
          </cell>
          <cell r="H387">
            <v>0</v>
          </cell>
          <cell r="I387">
            <v>10</v>
          </cell>
          <cell r="J387">
            <v>40</v>
          </cell>
          <cell r="K387">
            <v>17800</v>
          </cell>
          <cell r="L387">
            <v>71200</v>
          </cell>
          <cell r="M387">
            <v>0</v>
          </cell>
          <cell r="N387">
            <v>0</v>
          </cell>
          <cell r="O387">
            <v>2800</v>
          </cell>
          <cell r="P387">
            <v>11200</v>
          </cell>
        </row>
        <row r="388">
          <cell r="A388">
            <v>3</v>
          </cell>
          <cell r="B388" t="str">
            <v>DITTO, BUT DESK MOUNT. TYPE, G-T #726-102</v>
          </cell>
          <cell r="C388">
            <v>1</v>
          </cell>
          <cell r="D388" t="str">
            <v>SET</v>
          </cell>
          <cell r="E388">
            <v>23000</v>
          </cell>
          <cell r="F388">
            <v>23000</v>
          </cell>
          <cell r="H388">
            <v>0</v>
          </cell>
          <cell r="I388">
            <v>12</v>
          </cell>
          <cell r="J388">
            <v>12</v>
          </cell>
          <cell r="K388">
            <v>23000</v>
          </cell>
          <cell r="L388">
            <v>23000</v>
          </cell>
          <cell r="M388">
            <v>0</v>
          </cell>
          <cell r="N388">
            <v>0</v>
          </cell>
          <cell r="O388">
            <v>3360</v>
          </cell>
          <cell r="P388">
            <v>3360</v>
          </cell>
        </row>
        <row r="389">
          <cell r="A389">
            <v>4</v>
          </cell>
          <cell r="B389" t="str">
            <v xml:space="preserve"> HOT DIPPED GALVANIZED STEEL SUPPORT, C100</v>
          </cell>
          <cell r="C389">
            <v>10</v>
          </cell>
          <cell r="D389" t="str">
            <v>SET</v>
          </cell>
          <cell r="E389">
            <v>1500</v>
          </cell>
          <cell r="F389">
            <v>15000</v>
          </cell>
          <cell r="H389">
            <v>0</v>
          </cell>
          <cell r="I389">
            <v>4</v>
          </cell>
          <cell r="J389">
            <v>40</v>
          </cell>
          <cell r="K389">
            <v>1500</v>
          </cell>
          <cell r="L389">
            <v>15000</v>
          </cell>
          <cell r="M389">
            <v>0</v>
          </cell>
          <cell r="N389">
            <v>0</v>
          </cell>
          <cell r="O389">
            <v>1120</v>
          </cell>
          <cell r="P389">
            <v>11200</v>
          </cell>
        </row>
        <row r="390">
          <cell r="B390" t="str">
            <v>3M LG., W/ SMALL FOUNDATION</v>
          </cell>
          <cell r="F390">
            <v>0</v>
          </cell>
          <cell r="H390">
            <v>0</v>
          </cell>
          <cell r="J390">
            <v>0</v>
          </cell>
          <cell r="K390">
            <v>0</v>
          </cell>
          <cell r="L390">
            <v>0</v>
          </cell>
          <cell r="M390">
            <v>0</v>
          </cell>
          <cell r="N390">
            <v>0</v>
          </cell>
          <cell r="O390">
            <v>0</v>
          </cell>
          <cell r="P390">
            <v>0</v>
          </cell>
        </row>
        <row r="391">
          <cell r="A391">
            <v>5</v>
          </cell>
          <cell r="B391" t="str">
            <v xml:space="preserve"> DRIVER, W/MOLDED LEXAN FOR DIV. 2 G-T </v>
          </cell>
          <cell r="C391">
            <v>16</v>
          </cell>
          <cell r="D391" t="str">
            <v>SET</v>
          </cell>
          <cell r="E391">
            <v>3300</v>
          </cell>
          <cell r="F391">
            <v>52800</v>
          </cell>
          <cell r="H391">
            <v>0</v>
          </cell>
          <cell r="I391">
            <v>3</v>
          </cell>
          <cell r="J391">
            <v>48</v>
          </cell>
          <cell r="K391">
            <v>3300</v>
          </cell>
          <cell r="L391">
            <v>52800</v>
          </cell>
          <cell r="M391">
            <v>0</v>
          </cell>
          <cell r="N391">
            <v>0</v>
          </cell>
          <cell r="O391">
            <v>840</v>
          </cell>
          <cell r="P391">
            <v>13440</v>
          </cell>
        </row>
        <row r="392">
          <cell r="B392" t="str">
            <v xml:space="preserve"> 13314-001</v>
          </cell>
          <cell r="F392">
            <v>0</v>
          </cell>
          <cell r="H392">
            <v>0</v>
          </cell>
          <cell r="J392">
            <v>0</v>
          </cell>
          <cell r="K392">
            <v>0</v>
          </cell>
          <cell r="L392">
            <v>0</v>
          </cell>
          <cell r="M392">
            <v>0</v>
          </cell>
          <cell r="N392">
            <v>0</v>
          </cell>
          <cell r="O392">
            <v>0</v>
          </cell>
          <cell r="P392">
            <v>0</v>
          </cell>
        </row>
        <row r="393">
          <cell r="A393">
            <v>6</v>
          </cell>
          <cell r="B393" t="str">
            <v xml:space="preserve"> HORN SPEAKER W/ EPOXY G-T 13304-002</v>
          </cell>
          <cell r="C393">
            <v>16</v>
          </cell>
          <cell r="D393" t="str">
            <v>SET</v>
          </cell>
          <cell r="E393">
            <v>6000</v>
          </cell>
          <cell r="F393">
            <v>96000</v>
          </cell>
          <cell r="H393">
            <v>0</v>
          </cell>
          <cell r="I393">
            <v>5</v>
          </cell>
          <cell r="J393">
            <v>80</v>
          </cell>
          <cell r="K393">
            <v>6000</v>
          </cell>
          <cell r="L393">
            <v>96000</v>
          </cell>
          <cell r="M393">
            <v>0</v>
          </cell>
          <cell r="N393">
            <v>0</v>
          </cell>
          <cell r="O393">
            <v>1400</v>
          </cell>
          <cell r="P393">
            <v>22400</v>
          </cell>
        </row>
        <row r="394">
          <cell r="B394" t="str">
            <v xml:space="preserve"> MOUNTING ASSEMBLY, G-T 411A1SPL</v>
          </cell>
          <cell r="F394">
            <v>0</v>
          </cell>
          <cell r="H394">
            <v>0</v>
          </cell>
          <cell r="J394">
            <v>0</v>
          </cell>
          <cell r="K394">
            <v>0</v>
          </cell>
          <cell r="L394">
            <v>0</v>
          </cell>
          <cell r="M394">
            <v>0</v>
          </cell>
          <cell r="N394">
            <v>0</v>
          </cell>
          <cell r="O394">
            <v>0</v>
          </cell>
          <cell r="P394">
            <v>0</v>
          </cell>
        </row>
        <row r="395">
          <cell r="A395">
            <v>7</v>
          </cell>
          <cell r="B395" t="str">
            <v xml:space="preserve"> LINE BALANCE UNIT G-T 305-001 OR EQUAL</v>
          </cell>
          <cell r="C395">
            <v>1</v>
          </cell>
          <cell r="D395" t="str">
            <v>SET</v>
          </cell>
          <cell r="E395">
            <v>2600</v>
          </cell>
          <cell r="F395">
            <v>2600</v>
          </cell>
          <cell r="H395">
            <v>0</v>
          </cell>
          <cell r="I395">
            <v>4</v>
          </cell>
          <cell r="J395">
            <v>4</v>
          </cell>
          <cell r="K395">
            <v>2600</v>
          </cell>
          <cell r="L395">
            <v>2600</v>
          </cell>
          <cell r="M395">
            <v>0</v>
          </cell>
          <cell r="N395">
            <v>0</v>
          </cell>
          <cell r="O395">
            <v>1120</v>
          </cell>
          <cell r="P395">
            <v>1120</v>
          </cell>
        </row>
        <row r="396">
          <cell r="A396">
            <v>8</v>
          </cell>
          <cell r="B396" t="str">
            <v xml:space="preserve"> CABLE, OVERALL &amp; INDIVIDUAL SHIELDED, 300V 8P-#14AWG</v>
          </cell>
          <cell r="C396">
            <v>2700</v>
          </cell>
          <cell r="D396" t="str">
            <v>M</v>
          </cell>
          <cell r="E396">
            <v>137</v>
          </cell>
          <cell r="F396">
            <v>369900</v>
          </cell>
          <cell r="H396">
            <v>0</v>
          </cell>
          <cell r="I396">
            <v>0.17799999999999999</v>
          </cell>
          <cell r="J396">
            <v>481</v>
          </cell>
          <cell r="K396">
            <v>137</v>
          </cell>
          <cell r="L396">
            <v>369900</v>
          </cell>
          <cell r="M396">
            <v>0</v>
          </cell>
          <cell r="N396">
            <v>0</v>
          </cell>
          <cell r="O396">
            <v>50</v>
          </cell>
          <cell r="P396">
            <v>135000</v>
          </cell>
        </row>
        <row r="397">
          <cell r="A397">
            <v>9</v>
          </cell>
          <cell r="B397" t="str">
            <v>XLPE CABLE 3C-3.5SQ.MM</v>
          </cell>
          <cell r="C397">
            <v>2800</v>
          </cell>
          <cell r="D397" t="str">
            <v>M</v>
          </cell>
          <cell r="E397">
            <v>15</v>
          </cell>
          <cell r="F397">
            <v>42000</v>
          </cell>
          <cell r="H397">
            <v>0</v>
          </cell>
          <cell r="I397">
            <v>7.9000000000000001E-2</v>
          </cell>
          <cell r="J397">
            <v>221</v>
          </cell>
          <cell r="K397">
            <v>15</v>
          </cell>
          <cell r="L397">
            <v>42000</v>
          </cell>
          <cell r="M397">
            <v>0</v>
          </cell>
          <cell r="N397">
            <v>0</v>
          </cell>
          <cell r="O397">
            <v>22</v>
          </cell>
          <cell r="P397">
            <v>61600</v>
          </cell>
        </row>
        <row r="398">
          <cell r="A398">
            <v>10</v>
          </cell>
          <cell r="B398" t="str">
            <v xml:space="preserve"> SPEAKER CABLE, TWISTED PAIR #18 AWG</v>
          </cell>
          <cell r="C398">
            <v>50</v>
          </cell>
          <cell r="D398" t="str">
            <v>M</v>
          </cell>
          <cell r="E398">
            <v>12</v>
          </cell>
          <cell r="F398">
            <v>600</v>
          </cell>
          <cell r="H398">
            <v>0</v>
          </cell>
          <cell r="I398">
            <v>6.2E-2</v>
          </cell>
          <cell r="J398">
            <v>3</v>
          </cell>
          <cell r="K398">
            <v>12</v>
          </cell>
          <cell r="L398">
            <v>600</v>
          </cell>
          <cell r="M398">
            <v>0</v>
          </cell>
          <cell r="N398">
            <v>0</v>
          </cell>
          <cell r="O398">
            <v>17</v>
          </cell>
          <cell r="P398">
            <v>850</v>
          </cell>
        </row>
        <row r="399">
          <cell r="A399">
            <v>11</v>
          </cell>
          <cell r="B399" t="str">
            <v>RSG CONDUIT, 2"</v>
          </cell>
          <cell r="C399">
            <v>100</v>
          </cell>
          <cell r="D399" t="str">
            <v>M</v>
          </cell>
          <cell r="E399">
            <v>105</v>
          </cell>
          <cell r="F399">
            <v>10500</v>
          </cell>
          <cell r="H399">
            <v>0</v>
          </cell>
          <cell r="I399">
            <v>0.98</v>
          </cell>
          <cell r="J399">
            <v>98</v>
          </cell>
          <cell r="K399">
            <v>105</v>
          </cell>
          <cell r="L399">
            <v>10500</v>
          </cell>
          <cell r="M399">
            <v>0</v>
          </cell>
          <cell r="N399">
            <v>0</v>
          </cell>
          <cell r="O399">
            <v>274</v>
          </cell>
          <cell r="P399">
            <v>27400</v>
          </cell>
        </row>
        <row r="400">
          <cell r="A400">
            <v>12</v>
          </cell>
          <cell r="B400" t="str">
            <v>DITTO BUT 3/4"</v>
          </cell>
          <cell r="C400">
            <v>50</v>
          </cell>
          <cell r="D400" t="str">
            <v>M</v>
          </cell>
          <cell r="E400">
            <v>32</v>
          </cell>
          <cell r="F400">
            <v>1600</v>
          </cell>
          <cell r="H400">
            <v>0</v>
          </cell>
          <cell r="I400">
            <v>0.47</v>
          </cell>
          <cell r="J400">
            <v>24</v>
          </cell>
          <cell r="K400">
            <v>32</v>
          </cell>
          <cell r="L400">
            <v>1600</v>
          </cell>
          <cell r="M400">
            <v>0</v>
          </cell>
          <cell r="N400">
            <v>0</v>
          </cell>
          <cell r="O400">
            <v>132</v>
          </cell>
          <cell r="P400">
            <v>6600</v>
          </cell>
        </row>
        <row r="401">
          <cell r="A401">
            <v>13</v>
          </cell>
          <cell r="B401" t="str">
            <v xml:space="preserve"> FLEXIBLE CONDUIT, 3/4", 1M LG, W/ TWO CONNECTOR</v>
          </cell>
          <cell r="C401">
            <v>16</v>
          </cell>
          <cell r="D401" t="str">
            <v>M</v>
          </cell>
          <cell r="E401">
            <v>81</v>
          </cell>
          <cell r="F401">
            <v>1296</v>
          </cell>
          <cell r="H401">
            <v>0</v>
          </cell>
          <cell r="I401">
            <v>0.56000000000000005</v>
          </cell>
          <cell r="J401">
            <v>9</v>
          </cell>
          <cell r="K401">
            <v>81</v>
          </cell>
          <cell r="L401">
            <v>1296</v>
          </cell>
          <cell r="M401">
            <v>0</v>
          </cell>
          <cell r="N401">
            <v>0</v>
          </cell>
          <cell r="O401">
            <v>157</v>
          </cell>
          <cell r="P401">
            <v>2512</v>
          </cell>
        </row>
        <row r="402">
          <cell r="A402">
            <v>14</v>
          </cell>
          <cell r="B402" t="str">
            <v xml:space="preserve"> HOT DIPPED GALVANIZED CONDUIT FITTING, UNION,</v>
          </cell>
          <cell r="C402">
            <v>1</v>
          </cell>
          <cell r="D402" t="str">
            <v>LOT</v>
          </cell>
          <cell r="E402">
            <v>36300</v>
          </cell>
          <cell r="F402">
            <v>36300</v>
          </cell>
          <cell r="H402">
            <v>0</v>
          </cell>
          <cell r="I402">
            <v>61</v>
          </cell>
          <cell r="J402">
            <v>61</v>
          </cell>
          <cell r="K402">
            <v>36300</v>
          </cell>
          <cell r="L402">
            <v>36300</v>
          </cell>
          <cell r="M402">
            <v>0</v>
          </cell>
          <cell r="N402">
            <v>0</v>
          </cell>
          <cell r="O402">
            <v>17080</v>
          </cell>
          <cell r="P402">
            <v>17080</v>
          </cell>
        </row>
        <row r="403">
          <cell r="B403" t="str">
            <v>SEALING FITTING</v>
          </cell>
          <cell r="F403">
            <v>0</v>
          </cell>
          <cell r="H403">
            <v>0</v>
          </cell>
          <cell r="J403">
            <v>0</v>
          </cell>
          <cell r="K403">
            <v>0</v>
          </cell>
          <cell r="L403">
            <v>0</v>
          </cell>
          <cell r="M403">
            <v>0</v>
          </cell>
          <cell r="N403">
            <v>0</v>
          </cell>
          <cell r="O403">
            <v>0</v>
          </cell>
          <cell r="P403">
            <v>0</v>
          </cell>
        </row>
        <row r="404">
          <cell r="A404">
            <v>15</v>
          </cell>
          <cell r="B404" t="str">
            <v>HOT DIPPED GALVALNIZED STEEL U-CHANNEL 41x41x2.0t</v>
          </cell>
          <cell r="C404">
            <v>15</v>
          </cell>
          <cell r="D404" t="str">
            <v>M</v>
          </cell>
          <cell r="E404">
            <v>82</v>
          </cell>
          <cell r="F404">
            <v>1230</v>
          </cell>
          <cell r="H404">
            <v>0</v>
          </cell>
          <cell r="I404">
            <v>0.40699999999999997</v>
          </cell>
          <cell r="J404">
            <v>6</v>
          </cell>
          <cell r="K404">
            <v>82</v>
          </cell>
          <cell r="L404">
            <v>1230</v>
          </cell>
          <cell r="M404">
            <v>0</v>
          </cell>
          <cell r="N404">
            <v>0</v>
          </cell>
          <cell r="O404">
            <v>114</v>
          </cell>
          <cell r="P404">
            <v>1710</v>
          </cell>
        </row>
        <row r="405">
          <cell r="A405">
            <v>16</v>
          </cell>
          <cell r="B405" t="str">
            <v>VHF PORTABLE MARINE BAND EXP-PROOF WALKY-TALKY</v>
          </cell>
          <cell r="C405">
            <v>2</v>
          </cell>
          <cell r="D405" t="str">
            <v>SET</v>
          </cell>
          <cell r="E405">
            <v>20000</v>
          </cell>
          <cell r="F405">
            <v>40000</v>
          </cell>
          <cell r="H405">
            <v>0</v>
          </cell>
          <cell r="J405">
            <v>0</v>
          </cell>
          <cell r="K405">
            <v>20000</v>
          </cell>
          <cell r="L405">
            <v>40000</v>
          </cell>
          <cell r="M405">
            <v>0</v>
          </cell>
          <cell r="N405">
            <v>0</v>
          </cell>
          <cell r="O405">
            <v>0</v>
          </cell>
          <cell r="P405">
            <v>0</v>
          </cell>
        </row>
        <row r="406">
          <cell r="A406">
            <v>17</v>
          </cell>
          <cell r="B406" t="str">
            <v xml:space="preserve"> MISCELLANEOUS MATERIALS </v>
          </cell>
          <cell r="C406">
            <v>1</v>
          </cell>
          <cell r="D406" t="str">
            <v>LOT</v>
          </cell>
          <cell r="E406">
            <v>48051.3</v>
          </cell>
          <cell r="F406">
            <v>48051</v>
          </cell>
          <cell r="H406">
            <v>0</v>
          </cell>
          <cell r="I406">
            <v>62.35</v>
          </cell>
          <cell r="J406">
            <v>62</v>
          </cell>
          <cell r="K406">
            <v>48051</v>
          </cell>
          <cell r="L406">
            <v>48051</v>
          </cell>
          <cell r="M406">
            <v>0</v>
          </cell>
          <cell r="N406">
            <v>0</v>
          </cell>
          <cell r="O406">
            <v>17458</v>
          </cell>
          <cell r="P406">
            <v>17458</v>
          </cell>
        </row>
        <row r="407">
          <cell r="B407" t="str">
            <v>SUB-TOTAL : (F)</v>
          </cell>
          <cell r="F407">
            <v>1009077</v>
          </cell>
          <cell r="H407">
            <v>0</v>
          </cell>
          <cell r="J407">
            <v>1309</v>
          </cell>
          <cell r="K407">
            <v>0</v>
          </cell>
          <cell r="L407">
            <v>1009077</v>
          </cell>
          <cell r="M407">
            <v>0</v>
          </cell>
          <cell r="N407">
            <v>0</v>
          </cell>
          <cell r="O407">
            <v>0</v>
          </cell>
          <cell r="P407">
            <v>366530</v>
          </cell>
        </row>
        <row r="408">
          <cell r="F408">
            <v>0</v>
          </cell>
          <cell r="H408">
            <v>0</v>
          </cell>
          <cell r="J408">
            <v>0</v>
          </cell>
          <cell r="K408">
            <v>0</v>
          </cell>
          <cell r="L408">
            <v>0</v>
          </cell>
          <cell r="M408">
            <v>0</v>
          </cell>
          <cell r="N408">
            <v>0</v>
          </cell>
          <cell r="O408">
            <v>0</v>
          </cell>
          <cell r="P408">
            <v>0</v>
          </cell>
        </row>
        <row r="409">
          <cell r="F409">
            <v>0</v>
          </cell>
          <cell r="H409">
            <v>0</v>
          </cell>
          <cell r="J409">
            <v>0</v>
          </cell>
          <cell r="K409">
            <v>0</v>
          </cell>
          <cell r="L409">
            <v>0</v>
          </cell>
          <cell r="M409">
            <v>0</v>
          </cell>
          <cell r="N409">
            <v>0</v>
          </cell>
          <cell r="O409">
            <v>0</v>
          </cell>
          <cell r="P409">
            <v>0</v>
          </cell>
        </row>
        <row r="410">
          <cell r="A410" t="str">
            <v>G.</v>
          </cell>
          <cell r="B410" t="str">
            <v>CCTV SYSTEM</v>
          </cell>
          <cell r="D410" t="str">
            <v xml:space="preserve"> </v>
          </cell>
          <cell r="F410">
            <v>0</v>
          </cell>
          <cell r="H410">
            <v>0</v>
          </cell>
          <cell r="J410">
            <v>0</v>
          </cell>
          <cell r="K410">
            <v>0</v>
          </cell>
          <cell r="L410">
            <v>0</v>
          </cell>
          <cell r="M410">
            <v>0</v>
          </cell>
          <cell r="N410">
            <v>0</v>
          </cell>
          <cell r="O410">
            <v>0</v>
          </cell>
          <cell r="P410">
            <v>0</v>
          </cell>
        </row>
        <row r="411">
          <cell r="A411">
            <v>1</v>
          </cell>
          <cell r="B411" t="str">
            <v xml:space="preserve"> 20" BLACK-AND-WHITE VEDIO MONITOR,  </v>
          </cell>
          <cell r="C411">
            <v>1</v>
          </cell>
          <cell r="D411" t="str">
            <v>SET</v>
          </cell>
          <cell r="E411">
            <v>9450</v>
          </cell>
          <cell r="F411">
            <v>9450</v>
          </cell>
          <cell r="H411">
            <v>0</v>
          </cell>
          <cell r="I411">
            <v>4</v>
          </cell>
          <cell r="J411">
            <v>4</v>
          </cell>
          <cell r="K411">
            <v>9450</v>
          </cell>
          <cell r="L411">
            <v>9450</v>
          </cell>
          <cell r="M411">
            <v>0</v>
          </cell>
          <cell r="N411">
            <v>0</v>
          </cell>
          <cell r="O411">
            <v>1120</v>
          </cell>
          <cell r="P411">
            <v>1120</v>
          </cell>
        </row>
        <row r="412">
          <cell r="A412">
            <v>2</v>
          </cell>
          <cell r="B412" t="str">
            <v xml:space="preserve"> BLACK-AND-WHITE CAMERA,1/2 CCD</v>
          </cell>
          <cell r="C412">
            <v>6</v>
          </cell>
          <cell r="D412" t="str">
            <v>SET</v>
          </cell>
          <cell r="E412">
            <v>8100</v>
          </cell>
          <cell r="F412">
            <v>48600</v>
          </cell>
          <cell r="H412">
            <v>0</v>
          </cell>
          <cell r="I412">
            <v>8</v>
          </cell>
          <cell r="J412">
            <v>48</v>
          </cell>
          <cell r="K412">
            <v>8100</v>
          </cell>
          <cell r="L412">
            <v>48600</v>
          </cell>
          <cell r="M412">
            <v>0</v>
          </cell>
          <cell r="N412">
            <v>0</v>
          </cell>
          <cell r="O412">
            <v>2240</v>
          </cell>
          <cell r="P412">
            <v>13440</v>
          </cell>
        </row>
        <row r="413">
          <cell r="A413">
            <v>3</v>
          </cell>
          <cell r="B413" t="str">
            <v xml:space="preserve"> MOTORIZED LENS, 10X, AUTO IRIS/FOCUS</v>
          </cell>
          <cell r="C413">
            <v>2</v>
          </cell>
          <cell r="D413" t="str">
            <v>PCS</v>
          </cell>
          <cell r="E413">
            <v>18900</v>
          </cell>
          <cell r="F413">
            <v>37800</v>
          </cell>
          <cell r="H413">
            <v>0</v>
          </cell>
          <cell r="I413">
            <v>2</v>
          </cell>
          <cell r="J413">
            <v>4</v>
          </cell>
          <cell r="K413">
            <v>18900</v>
          </cell>
          <cell r="L413">
            <v>37800</v>
          </cell>
          <cell r="M413">
            <v>0</v>
          </cell>
          <cell r="N413">
            <v>0</v>
          </cell>
          <cell r="O413">
            <v>560</v>
          </cell>
          <cell r="P413">
            <v>1120</v>
          </cell>
        </row>
        <row r="414">
          <cell r="A414">
            <v>4</v>
          </cell>
          <cell r="B414" t="str">
            <v xml:space="preserve"> FIXED LENS, AUTO IRIS 16 mm, </v>
          </cell>
          <cell r="C414">
            <v>4</v>
          </cell>
          <cell r="D414" t="str">
            <v>PCS</v>
          </cell>
          <cell r="E414">
            <v>4050</v>
          </cell>
          <cell r="F414">
            <v>16200</v>
          </cell>
          <cell r="H414">
            <v>0</v>
          </cell>
          <cell r="I414">
            <v>2</v>
          </cell>
          <cell r="J414">
            <v>8</v>
          </cell>
          <cell r="K414">
            <v>4050</v>
          </cell>
          <cell r="L414">
            <v>16200</v>
          </cell>
          <cell r="M414">
            <v>0</v>
          </cell>
          <cell r="N414">
            <v>0</v>
          </cell>
          <cell r="O414">
            <v>560</v>
          </cell>
          <cell r="P414">
            <v>2240</v>
          </cell>
        </row>
        <row r="415">
          <cell r="A415">
            <v>5</v>
          </cell>
          <cell r="B415" t="str">
            <v xml:space="preserve"> EXPLOSION ROOF HOUSING</v>
          </cell>
          <cell r="C415">
            <v>4</v>
          </cell>
          <cell r="D415" t="str">
            <v>SET</v>
          </cell>
          <cell r="E415">
            <v>148500</v>
          </cell>
          <cell r="F415">
            <v>594000</v>
          </cell>
          <cell r="H415">
            <v>0</v>
          </cell>
          <cell r="I415">
            <v>8</v>
          </cell>
          <cell r="J415">
            <v>32</v>
          </cell>
          <cell r="K415">
            <v>148500</v>
          </cell>
          <cell r="L415">
            <v>594000</v>
          </cell>
          <cell r="M415">
            <v>0</v>
          </cell>
          <cell r="N415">
            <v>0</v>
          </cell>
          <cell r="O415">
            <v>2240</v>
          </cell>
          <cell r="P415">
            <v>8960</v>
          </cell>
        </row>
        <row r="416">
          <cell r="A416">
            <v>6</v>
          </cell>
          <cell r="B416" t="str">
            <v>WEATHER PROOF HOUSING</v>
          </cell>
          <cell r="C416">
            <v>2</v>
          </cell>
          <cell r="D416" t="str">
            <v>SET</v>
          </cell>
          <cell r="E416">
            <v>49500</v>
          </cell>
          <cell r="F416">
            <v>99000</v>
          </cell>
          <cell r="H416">
            <v>0</v>
          </cell>
          <cell r="I416">
            <v>6</v>
          </cell>
          <cell r="J416">
            <v>12</v>
          </cell>
          <cell r="K416">
            <v>49500</v>
          </cell>
          <cell r="L416">
            <v>99000</v>
          </cell>
          <cell r="M416">
            <v>0</v>
          </cell>
          <cell r="N416">
            <v>0</v>
          </cell>
          <cell r="O416">
            <v>1680</v>
          </cell>
          <cell r="P416">
            <v>3360</v>
          </cell>
        </row>
        <row r="417">
          <cell r="A417">
            <v>7</v>
          </cell>
          <cell r="B417" t="str">
            <v xml:space="preserve"> PAN-AND-TILT DRIVER, CL.1 DIV.2</v>
          </cell>
          <cell r="C417">
            <v>2</v>
          </cell>
          <cell r="D417" t="str">
            <v>SET</v>
          </cell>
          <cell r="E417">
            <v>148500</v>
          </cell>
          <cell r="F417">
            <v>297000</v>
          </cell>
          <cell r="H417">
            <v>0</v>
          </cell>
          <cell r="I417">
            <v>8</v>
          </cell>
          <cell r="J417">
            <v>16</v>
          </cell>
          <cell r="K417">
            <v>148500</v>
          </cell>
          <cell r="L417">
            <v>297000</v>
          </cell>
          <cell r="M417">
            <v>0</v>
          </cell>
          <cell r="N417">
            <v>0</v>
          </cell>
          <cell r="O417">
            <v>2240</v>
          </cell>
          <cell r="P417">
            <v>4480</v>
          </cell>
        </row>
        <row r="418">
          <cell r="A418">
            <v>8</v>
          </cell>
          <cell r="B418" t="str">
            <v>24 hr  VCR</v>
          </cell>
          <cell r="C418">
            <v>1</v>
          </cell>
          <cell r="D418" t="str">
            <v>SET</v>
          </cell>
          <cell r="E418">
            <v>45000</v>
          </cell>
          <cell r="F418">
            <v>45000</v>
          </cell>
          <cell r="H418">
            <v>0</v>
          </cell>
          <cell r="I418">
            <v>8</v>
          </cell>
          <cell r="J418">
            <v>8</v>
          </cell>
          <cell r="K418">
            <v>45000</v>
          </cell>
          <cell r="L418">
            <v>45000</v>
          </cell>
          <cell r="M418">
            <v>0</v>
          </cell>
          <cell r="N418">
            <v>0</v>
          </cell>
          <cell r="O418">
            <v>2240</v>
          </cell>
          <cell r="P418">
            <v>2240</v>
          </cell>
        </row>
        <row r="419">
          <cell r="A419">
            <v>9</v>
          </cell>
          <cell r="B419" t="str">
            <v>CONTROL SIGNAL DISTRIBUTION UNIT, 5 CHANNEL</v>
          </cell>
          <cell r="C419">
            <v>1</v>
          </cell>
          <cell r="D419" t="str">
            <v>SET</v>
          </cell>
          <cell r="E419">
            <v>45000</v>
          </cell>
          <cell r="F419">
            <v>45000</v>
          </cell>
          <cell r="H419">
            <v>0</v>
          </cell>
          <cell r="I419">
            <v>8</v>
          </cell>
          <cell r="J419">
            <v>8</v>
          </cell>
          <cell r="K419">
            <v>45000</v>
          </cell>
          <cell r="L419">
            <v>45000</v>
          </cell>
          <cell r="M419">
            <v>0</v>
          </cell>
          <cell r="N419">
            <v>0</v>
          </cell>
          <cell r="O419">
            <v>2240</v>
          </cell>
          <cell r="P419">
            <v>2240</v>
          </cell>
        </row>
        <row r="420">
          <cell r="A420">
            <v>10</v>
          </cell>
          <cell r="B420" t="str">
            <v>VEDIO MULTIPLEXER, 9-CHANNEL</v>
          </cell>
          <cell r="C420">
            <v>1</v>
          </cell>
          <cell r="D420" t="str">
            <v>SET</v>
          </cell>
          <cell r="E420">
            <v>32000</v>
          </cell>
          <cell r="F420">
            <v>32000</v>
          </cell>
          <cell r="H420">
            <v>0</v>
          </cell>
          <cell r="I420">
            <v>20</v>
          </cell>
          <cell r="J420">
            <v>20</v>
          </cell>
          <cell r="K420">
            <v>32000</v>
          </cell>
          <cell r="L420">
            <v>32000</v>
          </cell>
          <cell r="M420">
            <v>0</v>
          </cell>
          <cell r="N420">
            <v>0</v>
          </cell>
          <cell r="O420">
            <v>5600</v>
          </cell>
          <cell r="P420">
            <v>5600</v>
          </cell>
        </row>
        <row r="421">
          <cell r="A421">
            <v>11</v>
          </cell>
          <cell r="B421" t="str">
            <v xml:space="preserve"> VIDEO COXIAL CABLE, PWC 7C2V OR EQUAL</v>
          </cell>
          <cell r="C421">
            <v>2000</v>
          </cell>
          <cell r="D421" t="str">
            <v>M</v>
          </cell>
          <cell r="E421">
            <v>16</v>
          </cell>
          <cell r="F421">
            <v>32000</v>
          </cell>
          <cell r="H421">
            <v>0</v>
          </cell>
          <cell r="I421">
            <v>0.1</v>
          </cell>
          <cell r="J421">
            <v>200</v>
          </cell>
          <cell r="K421">
            <v>16</v>
          </cell>
          <cell r="L421">
            <v>32000</v>
          </cell>
          <cell r="M421">
            <v>0</v>
          </cell>
          <cell r="N421">
            <v>0</v>
          </cell>
          <cell r="O421">
            <v>28</v>
          </cell>
          <cell r="P421">
            <v>56000</v>
          </cell>
        </row>
        <row r="422">
          <cell r="A422">
            <v>12</v>
          </cell>
          <cell r="B422" t="str">
            <v>SHIELDED CABLE, 8C-1.25 SQ.MM</v>
          </cell>
          <cell r="C422">
            <v>1600</v>
          </cell>
          <cell r="D422" t="str">
            <v>M</v>
          </cell>
          <cell r="E422">
            <v>32</v>
          </cell>
          <cell r="F422">
            <v>51200</v>
          </cell>
          <cell r="H422">
            <v>0</v>
          </cell>
          <cell r="I422">
            <v>7.0000000000000007E-2</v>
          </cell>
          <cell r="J422">
            <v>112</v>
          </cell>
          <cell r="K422">
            <v>32</v>
          </cell>
          <cell r="L422">
            <v>51200</v>
          </cell>
          <cell r="M422">
            <v>0</v>
          </cell>
          <cell r="N422">
            <v>0</v>
          </cell>
          <cell r="O422">
            <v>20</v>
          </cell>
          <cell r="P422">
            <v>32000</v>
          </cell>
        </row>
        <row r="423">
          <cell r="A423">
            <v>13</v>
          </cell>
          <cell r="B423" t="str">
            <v>600V XLPE CABLE, 3C-5.5 SQ.MM</v>
          </cell>
          <cell r="C423">
            <v>1500</v>
          </cell>
          <cell r="D423" t="str">
            <v>M</v>
          </cell>
          <cell r="E423">
            <v>20</v>
          </cell>
          <cell r="F423">
            <v>30000</v>
          </cell>
          <cell r="H423">
            <v>0</v>
          </cell>
          <cell r="I423">
            <v>0.1</v>
          </cell>
          <cell r="J423">
            <v>150</v>
          </cell>
          <cell r="K423">
            <v>20</v>
          </cell>
          <cell r="L423">
            <v>30000</v>
          </cell>
          <cell r="M423">
            <v>0</v>
          </cell>
          <cell r="N423">
            <v>0</v>
          </cell>
          <cell r="O423">
            <v>28</v>
          </cell>
          <cell r="P423">
            <v>42000</v>
          </cell>
        </row>
        <row r="424">
          <cell r="A424">
            <v>14</v>
          </cell>
          <cell r="B424" t="str">
            <v xml:space="preserve">JUNCTION BOX CL.1 DIV.2 GROUP D 250L x 250W x 150D </v>
          </cell>
          <cell r="C424">
            <v>4</v>
          </cell>
          <cell r="D424" t="str">
            <v>SET</v>
          </cell>
          <cell r="E424">
            <v>8000</v>
          </cell>
          <cell r="F424">
            <v>32000</v>
          </cell>
          <cell r="H424">
            <v>0</v>
          </cell>
          <cell r="I424">
            <v>4</v>
          </cell>
          <cell r="J424">
            <v>16</v>
          </cell>
          <cell r="K424">
            <v>8000</v>
          </cell>
          <cell r="L424">
            <v>32000</v>
          </cell>
          <cell r="M424">
            <v>0</v>
          </cell>
          <cell r="N424">
            <v>0</v>
          </cell>
          <cell r="O424">
            <v>1120</v>
          </cell>
          <cell r="P424">
            <v>4480</v>
          </cell>
        </row>
        <row r="425">
          <cell r="A425">
            <v>15</v>
          </cell>
          <cell r="B425" t="str">
            <v xml:space="preserve">JUNCTION BOX WEATHER PROOF 250L x 250W x 150D </v>
          </cell>
          <cell r="C425">
            <v>2</v>
          </cell>
          <cell r="D425" t="str">
            <v>SET</v>
          </cell>
          <cell r="E425">
            <v>4000</v>
          </cell>
          <cell r="F425">
            <v>8000</v>
          </cell>
          <cell r="H425">
            <v>0</v>
          </cell>
          <cell r="I425">
            <v>3</v>
          </cell>
          <cell r="J425">
            <v>6</v>
          </cell>
          <cell r="K425">
            <v>4000</v>
          </cell>
          <cell r="L425">
            <v>8000</v>
          </cell>
          <cell r="M425">
            <v>0</v>
          </cell>
          <cell r="N425">
            <v>0</v>
          </cell>
          <cell r="O425">
            <v>840</v>
          </cell>
          <cell r="P425">
            <v>1680</v>
          </cell>
        </row>
        <row r="426">
          <cell r="A426">
            <v>16</v>
          </cell>
          <cell r="B426" t="str">
            <v>RSG CONDUIT, 2"</v>
          </cell>
          <cell r="C426">
            <v>250</v>
          </cell>
          <cell r="D426" t="str">
            <v>M</v>
          </cell>
          <cell r="E426">
            <v>105</v>
          </cell>
          <cell r="F426">
            <v>26250</v>
          </cell>
          <cell r="H426">
            <v>0</v>
          </cell>
          <cell r="I426">
            <v>0.98</v>
          </cell>
          <cell r="J426">
            <v>245</v>
          </cell>
          <cell r="K426">
            <v>105</v>
          </cell>
          <cell r="L426">
            <v>26250</v>
          </cell>
          <cell r="M426">
            <v>0</v>
          </cell>
          <cell r="N426">
            <v>0</v>
          </cell>
          <cell r="O426">
            <v>274</v>
          </cell>
          <cell r="P426">
            <v>68500</v>
          </cell>
        </row>
        <row r="427">
          <cell r="A427">
            <v>17</v>
          </cell>
          <cell r="B427" t="str">
            <v>HOT DIPPED GALVALNIZED STEEL U-CHANNEL 41x41x2.0t</v>
          </cell>
          <cell r="C427">
            <v>15</v>
          </cell>
          <cell r="D427" t="str">
            <v>M</v>
          </cell>
          <cell r="E427">
            <v>82</v>
          </cell>
          <cell r="F427">
            <v>1230</v>
          </cell>
          <cell r="H427">
            <v>0</v>
          </cell>
          <cell r="I427">
            <v>0.40699999999999997</v>
          </cell>
          <cell r="J427">
            <v>6</v>
          </cell>
          <cell r="K427">
            <v>82</v>
          </cell>
          <cell r="L427">
            <v>1230</v>
          </cell>
          <cell r="M427">
            <v>0</v>
          </cell>
          <cell r="N427">
            <v>0</v>
          </cell>
          <cell r="O427">
            <v>114</v>
          </cell>
          <cell r="P427">
            <v>1710</v>
          </cell>
        </row>
        <row r="428">
          <cell r="A428">
            <v>18</v>
          </cell>
          <cell r="B428" t="str">
            <v xml:space="preserve">CAMERA SUPPORT, HOT DIPPED GALVANIZED STEEL </v>
          </cell>
          <cell r="C428">
            <v>4</v>
          </cell>
          <cell r="D428" t="str">
            <v>SET</v>
          </cell>
          <cell r="E428">
            <v>8100</v>
          </cell>
          <cell r="F428">
            <v>32400</v>
          </cell>
          <cell r="H428">
            <v>0</v>
          </cell>
          <cell r="I428">
            <v>4</v>
          </cell>
          <cell r="J428">
            <v>16</v>
          </cell>
          <cell r="K428">
            <v>8100</v>
          </cell>
          <cell r="L428">
            <v>32400</v>
          </cell>
          <cell r="M428">
            <v>0</v>
          </cell>
          <cell r="N428">
            <v>0</v>
          </cell>
          <cell r="O428">
            <v>1120</v>
          </cell>
          <cell r="P428">
            <v>4480</v>
          </cell>
        </row>
        <row r="429">
          <cell r="B429" t="str">
            <v>W/ COATING, WALL MOUNT. TYPE</v>
          </cell>
          <cell r="F429">
            <v>0</v>
          </cell>
          <cell r="H429">
            <v>0</v>
          </cell>
          <cell r="J429">
            <v>0</v>
          </cell>
          <cell r="K429">
            <v>0</v>
          </cell>
          <cell r="L429">
            <v>0</v>
          </cell>
          <cell r="M429">
            <v>0</v>
          </cell>
          <cell r="N429">
            <v>0</v>
          </cell>
          <cell r="O429">
            <v>0</v>
          </cell>
          <cell r="P429">
            <v>0</v>
          </cell>
        </row>
        <row r="430">
          <cell r="A430">
            <v>19</v>
          </cell>
          <cell r="B430" t="str">
            <v xml:space="preserve">CAMERA SUPPORT, HOT DIPPED GALVANIZED STEEL </v>
          </cell>
          <cell r="C430">
            <v>6</v>
          </cell>
          <cell r="D430" t="str">
            <v>SET</v>
          </cell>
          <cell r="E430">
            <v>14000</v>
          </cell>
          <cell r="F430">
            <v>84000</v>
          </cell>
          <cell r="H430">
            <v>0</v>
          </cell>
          <cell r="I430">
            <v>20</v>
          </cell>
          <cell r="J430">
            <v>120</v>
          </cell>
          <cell r="K430">
            <v>14000</v>
          </cell>
          <cell r="L430">
            <v>84000</v>
          </cell>
          <cell r="M430">
            <v>0</v>
          </cell>
          <cell r="N430">
            <v>0</v>
          </cell>
          <cell r="O430">
            <v>5600</v>
          </cell>
          <cell r="P430">
            <v>33600</v>
          </cell>
        </row>
        <row r="431">
          <cell r="B431" t="str">
            <v>W/ COATING, STANCHION TYPE, 3M H , W/FUNDATION</v>
          </cell>
          <cell r="F431">
            <v>0</v>
          </cell>
          <cell r="H431">
            <v>0</v>
          </cell>
          <cell r="J431">
            <v>0</v>
          </cell>
          <cell r="K431">
            <v>0</v>
          </cell>
          <cell r="L431">
            <v>0</v>
          </cell>
          <cell r="M431">
            <v>0</v>
          </cell>
          <cell r="N431">
            <v>0</v>
          </cell>
          <cell r="O431">
            <v>0</v>
          </cell>
          <cell r="P431">
            <v>0</v>
          </cell>
        </row>
        <row r="432">
          <cell r="A432">
            <v>20</v>
          </cell>
          <cell r="B432" t="str">
            <v xml:space="preserve"> HOT DIPPED GALVANIZED CONDUIT FITTING, UNION,</v>
          </cell>
          <cell r="C432">
            <v>1</v>
          </cell>
          <cell r="D432" t="str">
            <v>LOT</v>
          </cell>
          <cell r="E432">
            <v>78750</v>
          </cell>
          <cell r="F432">
            <v>78750</v>
          </cell>
          <cell r="H432">
            <v>0</v>
          </cell>
          <cell r="I432">
            <v>122.5</v>
          </cell>
          <cell r="J432">
            <v>123</v>
          </cell>
          <cell r="K432">
            <v>78750</v>
          </cell>
          <cell r="L432">
            <v>78750</v>
          </cell>
          <cell r="M432">
            <v>0</v>
          </cell>
          <cell r="N432">
            <v>0</v>
          </cell>
          <cell r="O432">
            <v>34300</v>
          </cell>
          <cell r="P432">
            <v>34300</v>
          </cell>
        </row>
        <row r="433">
          <cell r="B433" t="str">
            <v>SEALING FITTING</v>
          </cell>
          <cell r="F433">
            <v>0</v>
          </cell>
          <cell r="H433">
            <v>0</v>
          </cell>
          <cell r="J433">
            <v>0</v>
          </cell>
          <cell r="K433">
            <v>0</v>
          </cell>
          <cell r="L433">
            <v>0</v>
          </cell>
          <cell r="M433">
            <v>0</v>
          </cell>
          <cell r="N433">
            <v>0</v>
          </cell>
          <cell r="O433">
            <v>0</v>
          </cell>
          <cell r="P433">
            <v>0</v>
          </cell>
        </row>
        <row r="434">
          <cell r="A434">
            <v>21</v>
          </cell>
          <cell r="B434" t="str">
            <v>FIBER OPTIC CABLE CABLE , 1 FIBERS</v>
          </cell>
          <cell r="C434">
            <v>1250</v>
          </cell>
          <cell r="D434" t="str">
            <v>M</v>
          </cell>
          <cell r="E434">
            <v>38</v>
          </cell>
          <cell r="F434">
            <v>47500</v>
          </cell>
          <cell r="H434">
            <v>0</v>
          </cell>
          <cell r="I434">
            <v>0.1</v>
          </cell>
          <cell r="J434">
            <v>125</v>
          </cell>
          <cell r="K434">
            <v>38</v>
          </cell>
          <cell r="L434">
            <v>47500</v>
          </cell>
          <cell r="M434">
            <v>0</v>
          </cell>
          <cell r="N434">
            <v>0</v>
          </cell>
          <cell r="O434">
            <v>28</v>
          </cell>
          <cell r="P434">
            <v>35000</v>
          </cell>
        </row>
        <row r="435">
          <cell r="A435">
            <v>22</v>
          </cell>
          <cell r="B435" t="str">
            <v>FIBER OPTIC VIDEO SIGNAL RECEIVER</v>
          </cell>
          <cell r="C435">
            <v>1</v>
          </cell>
          <cell r="D435" t="str">
            <v>SET</v>
          </cell>
          <cell r="E435">
            <v>23400</v>
          </cell>
          <cell r="F435">
            <v>23400</v>
          </cell>
          <cell r="H435">
            <v>0</v>
          </cell>
          <cell r="I435">
            <v>4</v>
          </cell>
          <cell r="J435">
            <v>4</v>
          </cell>
          <cell r="K435">
            <v>23400</v>
          </cell>
          <cell r="L435">
            <v>23400</v>
          </cell>
          <cell r="M435">
            <v>0</v>
          </cell>
          <cell r="N435">
            <v>0</v>
          </cell>
          <cell r="O435">
            <v>1120</v>
          </cell>
          <cell r="P435">
            <v>1120</v>
          </cell>
        </row>
        <row r="436">
          <cell r="A436">
            <v>23</v>
          </cell>
          <cell r="B436" t="str">
            <v>FIBER OPTIC VIDEO SIGNAL TRANSMITER</v>
          </cell>
          <cell r="C436">
            <v>1</v>
          </cell>
          <cell r="D436" t="str">
            <v>SET</v>
          </cell>
          <cell r="E436">
            <v>25200</v>
          </cell>
          <cell r="F436">
            <v>25200</v>
          </cell>
          <cell r="H436">
            <v>0</v>
          </cell>
          <cell r="I436">
            <v>4</v>
          </cell>
          <cell r="J436">
            <v>4</v>
          </cell>
          <cell r="K436">
            <v>25200</v>
          </cell>
          <cell r="L436">
            <v>25200</v>
          </cell>
          <cell r="M436">
            <v>0</v>
          </cell>
          <cell r="N436">
            <v>0</v>
          </cell>
          <cell r="O436">
            <v>1120</v>
          </cell>
          <cell r="P436">
            <v>1120</v>
          </cell>
        </row>
        <row r="437">
          <cell r="A437">
            <v>24</v>
          </cell>
          <cell r="B437" t="str">
            <v xml:space="preserve"> MISCELLANEOUS MATERIALS</v>
          </cell>
          <cell r="C437">
            <v>1</v>
          </cell>
          <cell r="D437" t="str">
            <v>LOT</v>
          </cell>
          <cell r="E437">
            <v>50879.4</v>
          </cell>
          <cell r="F437">
            <v>50879</v>
          </cell>
          <cell r="H437">
            <v>0</v>
          </cell>
          <cell r="I437">
            <v>38.61</v>
          </cell>
          <cell r="J437">
            <v>39</v>
          </cell>
          <cell r="K437">
            <v>50879</v>
          </cell>
          <cell r="L437">
            <v>50879</v>
          </cell>
          <cell r="M437">
            <v>0</v>
          </cell>
          <cell r="N437">
            <v>0</v>
          </cell>
          <cell r="O437">
            <v>10811</v>
          </cell>
          <cell r="P437">
            <v>10811</v>
          </cell>
        </row>
        <row r="438">
          <cell r="B438" t="str">
            <v>SUB-TOTAL : (G)</v>
          </cell>
          <cell r="F438">
            <v>1746859</v>
          </cell>
          <cell r="H438">
            <v>0</v>
          </cell>
          <cell r="J438">
            <v>1326</v>
          </cell>
          <cell r="K438">
            <v>0</v>
          </cell>
          <cell r="L438">
            <v>1746859</v>
          </cell>
          <cell r="M438">
            <v>0</v>
          </cell>
          <cell r="N438">
            <v>0</v>
          </cell>
          <cell r="O438">
            <v>0</v>
          </cell>
          <cell r="P438">
            <v>371601</v>
          </cell>
        </row>
        <row r="439">
          <cell r="F439">
            <v>0</v>
          </cell>
          <cell r="H439">
            <v>0</v>
          </cell>
          <cell r="J439">
            <v>0</v>
          </cell>
          <cell r="K439">
            <v>0</v>
          </cell>
          <cell r="L439">
            <v>0</v>
          </cell>
          <cell r="M439">
            <v>0</v>
          </cell>
          <cell r="N439">
            <v>0</v>
          </cell>
          <cell r="O439">
            <v>0</v>
          </cell>
          <cell r="P439">
            <v>0</v>
          </cell>
        </row>
        <row r="440">
          <cell r="F440">
            <v>0</v>
          </cell>
          <cell r="H440">
            <v>0</v>
          </cell>
          <cell r="J440">
            <v>0</v>
          </cell>
          <cell r="K440">
            <v>0</v>
          </cell>
          <cell r="L440">
            <v>0</v>
          </cell>
          <cell r="M440">
            <v>0</v>
          </cell>
          <cell r="N440">
            <v>0</v>
          </cell>
          <cell r="O440">
            <v>0</v>
          </cell>
          <cell r="P440">
            <v>0</v>
          </cell>
        </row>
        <row r="441">
          <cell r="A441" t="str">
            <v>H.</v>
          </cell>
          <cell r="B441" t="str">
            <v xml:space="preserve"> CATHODIC PROTECTION SYSTEM </v>
          </cell>
          <cell r="F441">
            <v>0</v>
          </cell>
          <cell r="H441">
            <v>0</v>
          </cell>
          <cell r="J441">
            <v>0</v>
          </cell>
          <cell r="K441">
            <v>0</v>
          </cell>
          <cell r="L441">
            <v>0</v>
          </cell>
          <cell r="M441">
            <v>0</v>
          </cell>
          <cell r="N441">
            <v>0</v>
          </cell>
          <cell r="O441">
            <v>0</v>
          </cell>
          <cell r="P441">
            <v>0</v>
          </cell>
        </row>
        <row r="442">
          <cell r="A442">
            <v>1</v>
          </cell>
          <cell r="B442" t="str">
            <v>40LB型鎂犧牲陽極</v>
          </cell>
          <cell r="C442">
            <v>60</v>
          </cell>
          <cell r="D442" t="str">
            <v>SET</v>
          </cell>
          <cell r="E442">
            <v>8000</v>
          </cell>
          <cell r="F442">
            <v>480000</v>
          </cell>
          <cell r="H442">
            <v>0</v>
          </cell>
          <cell r="I442">
            <v>9</v>
          </cell>
          <cell r="J442">
            <v>540</v>
          </cell>
          <cell r="K442">
            <v>8000</v>
          </cell>
          <cell r="L442">
            <v>480000</v>
          </cell>
          <cell r="M442">
            <v>0</v>
          </cell>
          <cell r="N442">
            <v>0</v>
          </cell>
          <cell r="O442">
            <v>2520</v>
          </cell>
          <cell r="P442">
            <v>151200</v>
          </cell>
        </row>
        <row r="443">
          <cell r="A443">
            <v>2</v>
          </cell>
          <cell r="B443" t="str">
            <v xml:space="preserve">ZINC GROUNDING CELL, FOUR ANODE UNITS WITH </v>
          </cell>
          <cell r="C443">
            <v>5</v>
          </cell>
          <cell r="D443" t="str">
            <v>SET</v>
          </cell>
          <cell r="E443">
            <v>14000</v>
          </cell>
          <cell r="F443">
            <v>70000</v>
          </cell>
          <cell r="H443">
            <v>0</v>
          </cell>
          <cell r="I443">
            <v>6</v>
          </cell>
          <cell r="J443">
            <v>30</v>
          </cell>
          <cell r="K443">
            <v>14000</v>
          </cell>
          <cell r="L443">
            <v>70000</v>
          </cell>
          <cell r="M443">
            <v>0</v>
          </cell>
          <cell r="N443">
            <v>0</v>
          </cell>
          <cell r="O443">
            <v>1680</v>
          </cell>
          <cell r="P443">
            <v>8400</v>
          </cell>
        </row>
        <row r="444">
          <cell r="B444" t="str">
            <v xml:space="preserve">10 FT OF #6 AWG HMWPE CATHODIC </v>
          </cell>
          <cell r="F444">
            <v>0</v>
          </cell>
          <cell r="H444">
            <v>0</v>
          </cell>
          <cell r="J444">
            <v>0</v>
          </cell>
          <cell r="K444">
            <v>0</v>
          </cell>
          <cell r="L444">
            <v>0</v>
          </cell>
          <cell r="M444">
            <v>0</v>
          </cell>
          <cell r="N444">
            <v>0</v>
          </cell>
          <cell r="O444">
            <v>0</v>
          </cell>
          <cell r="P444">
            <v>0</v>
          </cell>
        </row>
        <row r="445">
          <cell r="B445" t="str">
            <v xml:space="preserve">PROTECTION COPPER CABLE, 1.4"X1.4"X60" </v>
          </cell>
          <cell r="F445">
            <v>0</v>
          </cell>
          <cell r="H445">
            <v>0</v>
          </cell>
          <cell r="J445">
            <v>0</v>
          </cell>
          <cell r="K445">
            <v>0</v>
          </cell>
          <cell r="L445">
            <v>0</v>
          </cell>
          <cell r="M445">
            <v>0</v>
          </cell>
          <cell r="N445">
            <v>0</v>
          </cell>
          <cell r="O445">
            <v>0</v>
          </cell>
          <cell r="P445">
            <v>0</v>
          </cell>
        </row>
        <row r="446">
          <cell r="B446" t="str">
            <v>ANODE</v>
          </cell>
          <cell r="F446">
            <v>0</v>
          </cell>
          <cell r="H446">
            <v>0</v>
          </cell>
          <cell r="J446">
            <v>0</v>
          </cell>
          <cell r="K446">
            <v>0</v>
          </cell>
          <cell r="L446">
            <v>0</v>
          </cell>
          <cell r="M446">
            <v>0</v>
          </cell>
          <cell r="N446">
            <v>0</v>
          </cell>
          <cell r="O446">
            <v>0</v>
          </cell>
          <cell r="P446">
            <v>0</v>
          </cell>
        </row>
        <row r="447">
          <cell r="A447">
            <v>3</v>
          </cell>
          <cell r="B447" t="str">
            <v>TEST JUNTION BOX</v>
          </cell>
          <cell r="C447">
            <v>7</v>
          </cell>
          <cell r="D447" t="str">
            <v>SET</v>
          </cell>
          <cell r="E447">
            <v>3000</v>
          </cell>
          <cell r="F447">
            <v>21000</v>
          </cell>
          <cell r="H447">
            <v>0</v>
          </cell>
          <cell r="I447">
            <v>6</v>
          </cell>
          <cell r="J447">
            <v>42</v>
          </cell>
          <cell r="K447">
            <v>3000</v>
          </cell>
          <cell r="L447">
            <v>21000</v>
          </cell>
          <cell r="M447">
            <v>0</v>
          </cell>
          <cell r="N447">
            <v>0</v>
          </cell>
          <cell r="O447">
            <v>1680</v>
          </cell>
          <cell r="P447">
            <v>11760</v>
          </cell>
        </row>
        <row r="448">
          <cell r="A448">
            <v>4</v>
          </cell>
          <cell r="B448" t="str">
            <v>Cu-CuS04 REFERENCE ELECTRODE WITH 10 FT OF</v>
          </cell>
          <cell r="C448">
            <v>7</v>
          </cell>
          <cell r="D448" t="str">
            <v>SET</v>
          </cell>
          <cell r="E448">
            <v>4000</v>
          </cell>
          <cell r="F448">
            <v>28000</v>
          </cell>
          <cell r="H448">
            <v>0</v>
          </cell>
          <cell r="I448">
            <v>6</v>
          </cell>
          <cell r="J448">
            <v>42</v>
          </cell>
          <cell r="K448">
            <v>4000</v>
          </cell>
          <cell r="L448">
            <v>28000</v>
          </cell>
          <cell r="M448">
            <v>0</v>
          </cell>
          <cell r="N448">
            <v>0</v>
          </cell>
          <cell r="O448">
            <v>1680</v>
          </cell>
          <cell r="P448">
            <v>11760</v>
          </cell>
        </row>
        <row r="449">
          <cell r="B449" t="str">
            <v xml:space="preserve">#8 AWG HMWPE CATHODIC PROTECTION  </v>
          </cell>
        </row>
        <row r="450">
          <cell r="B450" t="str">
            <v xml:space="preserve">COPPER CABLE &amp; BACKFILL OVER SIZE   </v>
          </cell>
        </row>
        <row r="451">
          <cell r="B451" t="str">
            <v>6" D x 10" L, GLOBAL TYPE OR EQUAL</v>
          </cell>
        </row>
        <row r="452">
          <cell r="A452">
            <v>5</v>
          </cell>
          <cell r="B452" t="str">
            <v>#8AWG 1/C HALAR CABLE</v>
          </cell>
          <cell r="C452">
            <v>475</v>
          </cell>
          <cell r="D452" t="str">
            <v>M</v>
          </cell>
          <cell r="E452">
            <v>120</v>
          </cell>
          <cell r="F452">
            <v>57000</v>
          </cell>
          <cell r="H452">
            <v>0</v>
          </cell>
          <cell r="I452">
            <v>0.12</v>
          </cell>
          <cell r="J452">
            <v>57</v>
          </cell>
          <cell r="K452">
            <v>120</v>
          </cell>
          <cell r="L452">
            <v>57000</v>
          </cell>
          <cell r="M452">
            <v>0</v>
          </cell>
          <cell r="N452">
            <v>0</v>
          </cell>
          <cell r="O452">
            <v>34</v>
          </cell>
          <cell r="P452">
            <v>16150</v>
          </cell>
        </row>
        <row r="453">
          <cell r="A453">
            <v>6</v>
          </cell>
          <cell r="B453" t="str">
            <v>CADWELD POWDER CARTRIDGE, CA-25 TYPE</v>
          </cell>
          <cell r="C453">
            <v>15</v>
          </cell>
          <cell r="D453" t="str">
            <v>PCS</v>
          </cell>
          <cell r="E453">
            <v>125</v>
          </cell>
          <cell r="F453">
            <v>1875</v>
          </cell>
          <cell r="H453">
            <v>0</v>
          </cell>
          <cell r="I453">
            <v>1</v>
          </cell>
          <cell r="J453">
            <v>15</v>
          </cell>
          <cell r="K453">
            <v>125</v>
          </cell>
          <cell r="L453">
            <v>1875</v>
          </cell>
          <cell r="M453">
            <v>0</v>
          </cell>
          <cell r="N453">
            <v>0</v>
          </cell>
          <cell r="O453">
            <v>280</v>
          </cell>
          <cell r="P453">
            <v>4200</v>
          </cell>
        </row>
        <row r="454">
          <cell r="A454">
            <v>7</v>
          </cell>
          <cell r="B454" t="str">
            <v>CADWELD MOLD</v>
          </cell>
          <cell r="C454">
            <v>1</v>
          </cell>
          <cell r="D454" t="str">
            <v>SET</v>
          </cell>
          <cell r="E454">
            <v>1500</v>
          </cell>
          <cell r="F454">
            <v>1500</v>
          </cell>
          <cell r="H454">
            <v>0</v>
          </cell>
          <cell r="J454">
            <v>0</v>
          </cell>
          <cell r="K454">
            <v>1500</v>
          </cell>
          <cell r="L454">
            <v>1500</v>
          </cell>
          <cell r="M454">
            <v>0</v>
          </cell>
          <cell r="N454">
            <v>0</v>
          </cell>
          <cell r="O454">
            <v>0</v>
          </cell>
          <cell r="P454">
            <v>0</v>
          </cell>
        </row>
        <row r="455">
          <cell r="A455">
            <v>8</v>
          </cell>
          <cell r="B455" t="str">
            <v>C TYPE LUG</v>
          </cell>
          <cell r="C455">
            <v>60</v>
          </cell>
          <cell r="D455" t="str">
            <v>PCS</v>
          </cell>
          <cell r="E455">
            <v>50</v>
          </cell>
          <cell r="F455">
            <v>3000</v>
          </cell>
          <cell r="H455">
            <v>0</v>
          </cell>
          <cell r="I455">
            <v>0.5</v>
          </cell>
          <cell r="J455">
            <v>30</v>
          </cell>
          <cell r="K455">
            <v>50</v>
          </cell>
          <cell r="L455">
            <v>3000</v>
          </cell>
          <cell r="M455">
            <v>0</v>
          </cell>
          <cell r="N455">
            <v>0</v>
          </cell>
          <cell r="O455">
            <v>140</v>
          </cell>
          <cell r="P455">
            <v>8400</v>
          </cell>
        </row>
        <row r="456">
          <cell r="A456">
            <v>9</v>
          </cell>
          <cell r="B456" t="str">
            <v>TOOL,MOLD SUPPORT CLAMP CADWELD CAB-320</v>
          </cell>
          <cell r="C456">
            <v>1</v>
          </cell>
          <cell r="D456" t="str">
            <v>PCS</v>
          </cell>
          <cell r="E456">
            <v>2500</v>
          </cell>
          <cell r="F456">
            <v>2500</v>
          </cell>
          <cell r="H456">
            <v>0</v>
          </cell>
          <cell r="J456">
            <v>0</v>
          </cell>
          <cell r="K456">
            <v>2500</v>
          </cell>
          <cell r="L456">
            <v>2500</v>
          </cell>
          <cell r="M456">
            <v>0</v>
          </cell>
          <cell r="N456">
            <v>0</v>
          </cell>
          <cell r="O456">
            <v>0</v>
          </cell>
          <cell r="P456">
            <v>0</v>
          </cell>
        </row>
        <row r="457">
          <cell r="A457">
            <v>10</v>
          </cell>
          <cell r="B457" t="str">
            <v xml:space="preserve">NONMETALLIC CONDUIT, PVC CNS 1302 UPVC </v>
          </cell>
          <cell r="C457">
            <v>285</v>
          </cell>
          <cell r="D457" t="str">
            <v>M</v>
          </cell>
          <cell r="E457">
            <v>16</v>
          </cell>
          <cell r="F457">
            <v>4560</v>
          </cell>
          <cell r="H457">
            <v>0</v>
          </cell>
          <cell r="I457">
            <v>0.5</v>
          </cell>
          <cell r="J457">
            <v>143</v>
          </cell>
          <cell r="K457">
            <v>16</v>
          </cell>
          <cell r="L457">
            <v>4560</v>
          </cell>
          <cell r="M457">
            <v>0</v>
          </cell>
          <cell r="N457">
            <v>0</v>
          </cell>
          <cell r="O457">
            <v>140</v>
          </cell>
          <cell r="P457">
            <v>39900</v>
          </cell>
        </row>
        <row r="458">
          <cell r="B458" t="str">
            <v>TABLE 1, 1"</v>
          </cell>
          <cell r="P458">
            <v>0</v>
          </cell>
        </row>
        <row r="459">
          <cell r="A459">
            <v>11</v>
          </cell>
          <cell r="B459" t="str">
            <v xml:space="preserve">CONCRETE, 3000PSI </v>
          </cell>
          <cell r="C459">
            <v>3</v>
          </cell>
          <cell r="D459" t="str">
            <v>M3</v>
          </cell>
          <cell r="E459" t="str">
            <v>M+L</v>
          </cell>
          <cell r="F459" t="str">
            <v>M+L</v>
          </cell>
          <cell r="H459">
            <v>0</v>
          </cell>
          <cell r="J459">
            <v>0</v>
          </cell>
          <cell r="K459" t="str">
            <v>M+L</v>
          </cell>
          <cell r="L459" t="str">
            <v>M+L</v>
          </cell>
          <cell r="O459">
            <v>2300</v>
          </cell>
          <cell r="P459">
            <v>6900</v>
          </cell>
        </row>
        <row r="460">
          <cell r="A460">
            <v>12</v>
          </cell>
          <cell r="B460" t="str">
            <v>STEEL REINFORCING BAR, 3/8"</v>
          </cell>
          <cell r="C460">
            <v>610</v>
          </cell>
          <cell r="D460" t="str">
            <v>KG</v>
          </cell>
          <cell r="E460" t="str">
            <v>M+L</v>
          </cell>
          <cell r="F460" t="str">
            <v>M+L</v>
          </cell>
          <cell r="H460">
            <v>0</v>
          </cell>
          <cell r="J460">
            <v>0</v>
          </cell>
          <cell r="K460" t="str">
            <v>M+L</v>
          </cell>
          <cell r="L460" t="str">
            <v>M+L</v>
          </cell>
          <cell r="O460">
            <v>16</v>
          </cell>
          <cell r="P460">
            <v>9760</v>
          </cell>
        </row>
        <row r="461">
          <cell r="A461">
            <v>13</v>
          </cell>
          <cell r="B461" t="str">
            <v xml:space="preserve"> EXCAVATION</v>
          </cell>
          <cell r="C461">
            <v>152</v>
          </cell>
          <cell r="D461" t="str">
            <v>M3</v>
          </cell>
          <cell r="E461" t="str">
            <v>M+L</v>
          </cell>
          <cell r="F461" t="str">
            <v>M+L</v>
          </cell>
          <cell r="H461">
            <v>0</v>
          </cell>
          <cell r="J461">
            <v>0</v>
          </cell>
          <cell r="K461" t="str">
            <v>M+L</v>
          </cell>
          <cell r="L461" t="str">
            <v>M+L</v>
          </cell>
          <cell r="O461">
            <v>120</v>
          </cell>
          <cell r="P461">
            <v>18240</v>
          </cell>
        </row>
        <row r="462">
          <cell r="A462">
            <v>14</v>
          </cell>
          <cell r="B462" t="str">
            <v xml:space="preserve"> BACKFILL SAND</v>
          </cell>
          <cell r="C462">
            <v>50</v>
          </cell>
          <cell r="D462" t="str">
            <v>M3</v>
          </cell>
          <cell r="E462" t="str">
            <v>M+L</v>
          </cell>
          <cell r="F462" t="str">
            <v>M+L</v>
          </cell>
          <cell r="H462">
            <v>0</v>
          </cell>
          <cell r="J462">
            <v>0</v>
          </cell>
          <cell r="K462" t="str">
            <v>M+L</v>
          </cell>
          <cell r="L462" t="str">
            <v>M+L</v>
          </cell>
          <cell r="O462">
            <v>550</v>
          </cell>
          <cell r="P462">
            <v>27500</v>
          </cell>
        </row>
        <row r="463">
          <cell r="A463">
            <v>15</v>
          </cell>
          <cell r="B463" t="str">
            <v xml:space="preserve"> BACKFILL STONE</v>
          </cell>
          <cell r="C463">
            <v>31</v>
          </cell>
          <cell r="D463" t="str">
            <v>M3</v>
          </cell>
          <cell r="E463" t="str">
            <v>M+L</v>
          </cell>
          <cell r="F463" t="str">
            <v>M+L</v>
          </cell>
          <cell r="H463">
            <v>0</v>
          </cell>
          <cell r="J463">
            <v>0</v>
          </cell>
          <cell r="K463" t="str">
            <v>M+L</v>
          </cell>
          <cell r="L463" t="str">
            <v>M+L</v>
          </cell>
          <cell r="O463">
            <v>520</v>
          </cell>
          <cell r="P463">
            <v>16120</v>
          </cell>
        </row>
        <row r="464">
          <cell r="A464">
            <v>16</v>
          </cell>
          <cell r="B464" t="str">
            <v xml:space="preserve"> DISPOSAL</v>
          </cell>
          <cell r="C464">
            <v>80</v>
          </cell>
          <cell r="D464" t="str">
            <v>M3</v>
          </cell>
          <cell r="E464" t="str">
            <v>M+L</v>
          </cell>
          <cell r="F464" t="str">
            <v>M+L</v>
          </cell>
          <cell r="H464">
            <v>0</v>
          </cell>
          <cell r="J464">
            <v>0</v>
          </cell>
          <cell r="K464" t="str">
            <v>M+L</v>
          </cell>
          <cell r="L464" t="str">
            <v>M+L</v>
          </cell>
          <cell r="O464">
            <v>220</v>
          </cell>
          <cell r="P464">
            <v>17600</v>
          </cell>
        </row>
        <row r="465">
          <cell r="A465">
            <v>17</v>
          </cell>
          <cell r="B465" t="str">
            <v>熱縮絕緣套管理(含熱溶膠)</v>
          </cell>
          <cell r="C465">
            <v>9</v>
          </cell>
          <cell r="D465" t="str">
            <v>PCS</v>
          </cell>
          <cell r="E465">
            <v>500</v>
          </cell>
          <cell r="F465">
            <v>4500</v>
          </cell>
          <cell r="H465">
            <v>0</v>
          </cell>
          <cell r="I465">
            <v>2</v>
          </cell>
          <cell r="J465">
            <v>18</v>
          </cell>
          <cell r="K465">
            <v>500</v>
          </cell>
          <cell r="L465">
            <v>4500</v>
          </cell>
          <cell r="M465">
            <v>0</v>
          </cell>
          <cell r="N465">
            <v>0</v>
          </cell>
          <cell r="O465">
            <v>560</v>
          </cell>
          <cell r="P465">
            <v>5040</v>
          </cell>
        </row>
        <row r="466">
          <cell r="A466">
            <v>18</v>
          </cell>
          <cell r="B466" t="str">
            <v>自融型絕緣膠帶</v>
          </cell>
          <cell r="C466">
            <v>7</v>
          </cell>
          <cell r="D466" t="str">
            <v>ROLL</v>
          </cell>
          <cell r="E466">
            <v>300</v>
          </cell>
          <cell r="F466">
            <v>2100</v>
          </cell>
          <cell r="H466">
            <v>0</v>
          </cell>
          <cell r="I466">
            <v>1</v>
          </cell>
          <cell r="J466">
            <v>7</v>
          </cell>
          <cell r="K466">
            <v>300</v>
          </cell>
          <cell r="L466">
            <v>2100</v>
          </cell>
          <cell r="M466">
            <v>0</v>
          </cell>
          <cell r="N466">
            <v>0</v>
          </cell>
          <cell r="O466">
            <v>280</v>
          </cell>
          <cell r="P466">
            <v>1960</v>
          </cell>
        </row>
        <row r="467">
          <cell r="A467">
            <v>19</v>
          </cell>
          <cell r="B467" t="str">
            <v>熱融焊點PE包覆蓋</v>
          </cell>
          <cell r="C467">
            <v>8</v>
          </cell>
          <cell r="D467" t="str">
            <v>PCS</v>
          </cell>
          <cell r="E467">
            <v>350</v>
          </cell>
          <cell r="F467">
            <v>2800</v>
          </cell>
          <cell r="H467">
            <v>0</v>
          </cell>
          <cell r="I467">
            <v>1</v>
          </cell>
          <cell r="J467">
            <v>8</v>
          </cell>
          <cell r="K467">
            <v>350</v>
          </cell>
          <cell r="L467">
            <v>2800</v>
          </cell>
          <cell r="M467">
            <v>0</v>
          </cell>
          <cell r="N467">
            <v>0</v>
          </cell>
          <cell r="O467">
            <v>280</v>
          </cell>
          <cell r="P467">
            <v>2240</v>
          </cell>
        </row>
        <row r="468">
          <cell r="A468">
            <v>20</v>
          </cell>
          <cell r="B468" t="str">
            <v>MISCELLANEOUS INCLUDE 防蝕系統測試調整 &amp; 交通安全措施費</v>
          </cell>
          <cell r="C468">
            <v>1</v>
          </cell>
          <cell r="D468" t="str">
            <v>LOT</v>
          </cell>
          <cell r="E468">
            <v>67883.5</v>
          </cell>
          <cell r="F468">
            <v>67884</v>
          </cell>
          <cell r="H468">
            <v>0</v>
          </cell>
          <cell r="I468">
            <v>93.2</v>
          </cell>
          <cell r="J468">
            <v>93</v>
          </cell>
          <cell r="K468">
            <v>67884</v>
          </cell>
          <cell r="L468">
            <v>67884</v>
          </cell>
          <cell r="M468">
            <v>0</v>
          </cell>
          <cell r="N468">
            <v>0</v>
          </cell>
          <cell r="O468">
            <v>26096</v>
          </cell>
          <cell r="P468">
            <v>26096</v>
          </cell>
        </row>
        <row r="469">
          <cell r="B469" t="str">
            <v>SUB-TOTAL : (H)</v>
          </cell>
          <cell r="F469">
            <v>746719</v>
          </cell>
          <cell r="H469">
            <v>0</v>
          </cell>
          <cell r="J469">
            <v>1025</v>
          </cell>
          <cell r="K469">
            <v>0</v>
          </cell>
          <cell r="L469">
            <v>746719</v>
          </cell>
          <cell r="M469">
            <v>0</v>
          </cell>
          <cell r="N469">
            <v>0</v>
          </cell>
          <cell r="O469">
            <v>0</v>
          </cell>
          <cell r="P469">
            <v>383226</v>
          </cell>
        </row>
        <row r="470">
          <cell r="F470">
            <v>0</v>
          </cell>
          <cell r="H470">
            <v>0</v>
          </cell>
          <cell r="J470">
            <v>0</v>
          </cell>
          <cell r="K470">
            <v>0</v>
          </cell>
          <cell r="L470">
            <v>0</v>
          </cell>
          <cell r="M470">
            <v>0</v>
          </cell>
          <cell r="N470">
            <v>0</v>
          </cell>
          <cell r="O470">
            <v>0</v>
          </cell>
          <cell r="P470">
            <v>0</v>
          </cell>
        </row>
        <row r="471">
          <cell r="F471">
            <v>0</v>
          </cell>
          <cell r="H471">
            <v>0</v>
          </cell>
          <cell r="J471">
            <v>0</v>
          </cell>
          <cell r="K471">
            <v>0</v>
          </cell>
          <cell r="L471">
            <v>0</v>
          </cell>
          <cell r="M471">
            <v>0</v>
          </cell>
          <cell r="N471">
            <v>0</v>
          </cell>
          <cell r="O471">
            <v>0</v>
          </cell>
          <cell r="P471">
            <v>0</v>
          </cell>
        </row>
        <row r="472">
          <cell r="F472">
            <v>0</v>
          </cell>
          <cell r="H472">
            <v>0</v>
          </cell>
          <cell r="J472">
            <v>0</v>
          </cell>
          <cell r="K472">
            <v>0</v>
          </cell>
          <cell r="L472">
            <v>0</v>
          </cell>
          <cell r="M472">
            <v>0</v>
          </cell>
          <cell r="N472">
            <v>0</v>
          </cell>
          <cell r="O472">
            <v>0</v>
          </cell>
          <cell r="P472">
            <v>0</v>
          </cell>
        </row>
        <row r="473">
          <cell r="A473" t="str">
            <v>I.</v>
          </cell>
          <cell r="B473" t="str">
            <v>APS SYSTEM</v>
          </cell>
          <cell r="F473">
            <v>0</v>
          </cell>
          <cell r="H473">
            <v>0</v>
          </cell>
          <cell r="J473">
            <v>0</v>
          </cell>
          <cell r="K473">
            <v>0</v>
          </cell>
          <cell r="L473">
            <v>0</v>
          </cell>
          <cell r="M473">
            <v>0</v>
          </cell>
          <cell r="N473">
            <v>0</v>
          </cell>
          <cell r="O473">
            <v>0</v>
          </cell>
          <cell r="P473">
            <v>0</v>
          </cell>
        </row>
        <row r="474">
          <cell r="B474" t="str">
            <v>D&amp;F SYSTEM PANEL, INCLUDING</v>
          </cell>
          <cell r="F474">
            <v>0</v>
          </cell>
          <cell r="H474">
            <v>0</v>
          </cell>
          <cell r="J474">
            <v>0</v>
          </cell>
          <cell r="K474">
            <v>0</v>
          </cell>
          <cell r="L474">
            <v>0</v>
          </cell>
          <cell r="M474">
            <v>0</v>
          </cell>
          <cell r="N474">
            <v>0</v>
          </cell>
          <cell r="O474">
            <v>0</v>
          </cell>
          <cell r="P474">
            <v>0</v>
          </cell>
        </row>
        <row r="475">
          <cell r="A475">
            <v>1</v>
          </cell>
          <cell r="B475" t="str">
            <v>PLC BASE PANEL, INDOOR IP20 ENCLOSURE, W/</v>
          </cell>
          <cell r="C475">
            <v>1</v>
          </cell>
          <cell r="D475" t="str">
            <v>SET</v>
          </cell>
          <cell r="E475">
            <v>1285400</v>
          </cell>
          <cell r="F475">
            <v>1285400</v>
          </cell>
          <cell r="H475">
            <v>0</v>
          </cell>
          <cell r="I475">
            <v>50</v>
          </cell>
          <cell r="J475">
            <v>50</v>
          </cell>
          <cell r="K475">
            <v>1285400</v>
          </cell>
          <cell r="L475">
            <v>1285400</v>
          </cell>
          <cell r="M475">
            <v>0</v>
          </cell>
          <cell r="N475">
            <v>0</v>
          </cell>
          <cell r="O475">
            <v>14000</v>
          </cell>
          <cell r="P475">
            <v>14000</v>
          </cell>
        </row>
        <row r="476">
          <cell r="B476" t="str">
            <v xml:space="preserve">POWER SUPPLY, DIx144, DOx100, </v>
          </cell>
          <cell r="F476">
            <v>0</v>
          </cell>
          <cell r="H476">
            <v>0</v>
          </cell>
          <cell r="J476">
            <v>0</v>
          </cell>
          <cell r="K476">
            <v>0</v>
          </cell>
          <cell r="L476">
            <v>0</v>
          </cell>
          <cell r="M476">
            <v>0</v>
          </cell>
          <cell r="N476">
            <v>0</v>
          </cell>
          <cell r="O476">
            <v>0</v>
          </cell>
          <cell r="P476">
            <v>0</v>
          </cell>
        </row>
        <row r="477">
          <cell r="B477" t="str">
            <v>INTERPOSITION RELAY x50,  WIRING, AND TB.</v>
          </cell>
          <cell r="F477">
            <v>0</v>
          </cell>
          <cell r="H477">
            <v>0</v>
          </cell>
          <cell r="J477">
            <v>0</v>
          </cell>
          <cell r="K477">
            <v>0</v>
          </cell>
          <cell r="L477">
            <v>0</v>
          </cell>
          <cell r="M477">
            <v>0</v>
          </cell>
          <cell r="N477">
            <v>0</v>
          </cell>
          <cell r="O477">
            <v>0</v>
          </cell>
          <cell r="P477">
            <v>0</v>
          </cell>
        </row>
        <row r="478">
          <cell r="B478" t="str">
            <v>SOFTWARE DESIGN PACKAGE</v>
          </cell>
          <cell r="F478">
            <v>0</v>
          </cell>
          <cell r="H478">
            <v>0</v>
          </cell>
          <cell r="J478">
            <v>0</v>
          </cell>
          <cell r="K478">
            <v>0</v>
          </cell>
          <cell r="L478">
            <v>0</v>
          </cell>
          <cell r="M478">
            <v>0</v>
          </cell>
          <cell r="N478">
            <v>0</v>
          </cell>
          <cell r="O478">
            <v>0</v>
          </cell>
          <cell r="P478">
            <v>0</v>
          </cell>
        </row>
        <row r="479">
          <cell r="A479">
            <v>2</v>
          </cell>
          <cell r="B479" t="str">
            <v>OPERATION CONSOLE, INCLUDING</v>
          </cell>
          <cell r="C479">
            <v>1</v>
          </cell>
          <cell r="D479" t="str">
            <v>SET</v>
          </cell>
          <cell r="E479">
            <v>357000</v>
          </cell>
          <cell r="F479">
            <v>357000</v>
          </cell>
          <cell r="H479">
            <v>0</v>
          </cell>
          <cell r="I479">
            <v>20</v>
          </cell>
          <cell r="J479">
            <v>20</v>
          </cell>
          <cell r="K479">
            <v>357000</v>
          </cell>
          <cell r="L479">
            <v>357000</v>
          </cell>
          <cell r="M479">
            <v>0</v>
          </cell>
          <cell r="N479">
            <v>0</v>
          </cell>
          <cell r="O479">
            <v>5600</v>
          </cell>
          <cell r="P479">
            <v>5600</v>
          </cell>
        </row>
        <row r="480">
          <cell r="B480" t="str">
            <v>ANNUNCIATOR PANEL, W/ 50 WINDOWS</v>
          </cell>
          <cell r="F480">
            <v>0</v>
          </cell>
          <cell r="H480">
            <v>0</v>
          </cell>
          <cell r="J480">
            <v>0</v>
          </cell>
          <cell r="K480">
            <v>0</v>
          </cell>
          <cell r="L480">
            <v>0</v>
          </cell>
          <cell r="M480">
            <v>0</v>
          </cell>
          <cell r="N480">
            <v>0</v>
          </cell>
          <cell r="O480">
            <v>0</v>
          </cell>
          <cell r="P480">
            <v>0</v>
          </cell>
        </row>
        <row r="481">
          <cell r="B481" t="str">
            <v xml:space="preserve">COMMAND BOARD, W/ 15 PB SWITCH(SW. W/LIGHT) </v>
          </cell>
          <cell r="F481">
            <v>0</v>
          </cell>
          <cell r="H481">
            <v>0</v>
          </cell>
          <cell r="J481">
            <v>0</v>
          </cell>
          <cell r="K481">
            <v>0</v>
          </cell>
          <cell r="L481">
            <v>0</v>
          </cell>
          <cell r="M481">
            <v>0</v>
          </cell>
          <cell r="N481">
            <v>0</v>
          </cell>
          <cell r="O481">
            <v>0</v>
          </cell>
          <cell r="P481">
            <v>0</v>
          </cell>
        </row>
        <row r="482">
          <cell r="B482" t="str">
            <v>WIRING, AND TB.</v>
          </cell>
          <cell r="F482">
            <v>0</v>
          </cell>
          <cell r="H482">
            <v>0</v>
          </cell>
          <cell r="J482">
            <v>0</v>
          </cell>
          <cell r="K482">
            <v>0</v>
          </cell>
          <cell r="L482">
            <v>0</v>
          </cell>
          <cell r="M482">
            <v>0</v>
          </cell>
          <cell r="N482">
            <v>0</v>
          </cell>
          <cell r="O482">
            <v>0</v>
          </cell>
          <cell r="P482">
            <v>0</v>
          </cell>
        </row>
        <row r="483">
          <cell r="A483">
            <v>3</v>
          </cell>
          <cell r="B483" t="str">
            <v>MIMIC PANEL, ENCLOSURE SIZE 2300Hx1400Wx600D</v>
          </cell>
          <cell r="C483">
            <v>1</v>
          </cell>
          <cell r="D483" t="str">
            <v>SET</v>
          </cell>
          <cell r="E483">
            <v>448000</v>
          </cell>
          <cell r="F483">
            <v>448000</v>
          </cell>
          <cell r="H483">
            <v>0</v>
          </cell>
          <cell r="I483">
            <v>20</v>
          </cell>
          <cell r="J483">
            <v>20</v>
          </cell>
          <cell r="K483">
            <v>448000</v>
          </cell>
          <cell r="L483">
            <v>448000</v>
          </cell>
          <cell r="M483">
            <v>0</v>
          </cell>
          <cell r="N483">
            <v>0</v>
          </cell>
          <cell r="O483">
            <v>5600</v>
          </cell>
          <cell r="P483">
            <v>5600</v>
          </cell>
        </row>
        <row r="484">
          <cell r="B484" t="str">
            <v>MOSAIC PANEL  SIZE 1200Hx1200W, W/</v>
          </cell>
          <cell r="F484">
            <v>0</v>
          </cell>
          <cell r="H484">
            <v>0</v>
          </cell>
          <cell r="J484">
            <v>0</v>
          </cell>
          <cell r="K484">
            <v>0</v>
          </cell>
          <cell r="L484">
            <v>0</v>
          </cell>
          <cell r="M484">
            <v>0</v>
          </cell>
          <cell r="N484">
            <v>0</v>
          </cell>
          <cell r="O484">
            <v>0</v>
          </cell>
          <cell r="P484">
            <v>0</v>
          </cell>
        </row>
        <row r="485">
          <cell r="B485" t="str">
            <v>INDICATION LIGHT x60, POWER SUPPLY, WIRING, AND TB.</v>
          </cell>
          <cell r="F485">
            <v>0</v>
          </cell>
          <cell r="H485">
            <v>0</v>
          </cell>
          <cell r="J485">
            <v>0</v>
          </cell>
          <cell r="K485">
            <v>0</v>
          </cell>
          <cell r="L485">
            <v>0</v>
          </cell>
          <cell r="M485">
            <v>0</v>
          </cell>
          <cell r="N485">
            <v>0</v>
          </cell>
          <cell r="O485">
            <v>0</v>
          </cell>
          <cell r="P485">
            <v>0</v>
          </cell>
        </row>
        <row r="486">
          <cell r="A486">
            <v>4</v>
          </cell>
          <cell r="B486" t="str">
            <v>RECEIVING PANEL, INDOOR IP20 ENCLOSURE, W/</v>
          </cell>
          <cell r="C486">
            <v>1</v>
          </cell>
          <cell r="D486" t="str">
            <v>SET</v>
          </cell>
          <cell r="E486">
            <v>1400000</v>
          </cell>
          <cell r="F486">
            <v>1400000</v>
          </cell>
          <cell r="H486">
            <v>0</v>
          </cell>
          <cell r="I486">
            <v>50</v>
          </cell>
          <cell r="J486">
            <v>50</v>
          </cell>
          <cell r="K486">
            <v>1400000</v>
          </cell>
          <cell r="L486">
            <v>1400000</v>
          </cell>
          <cell r="M486">
            <v>0</v>
          </cell>
          <cell r="N486">
            <v>0</v>
          </cell>
          <cell r="O486">
            <v>14000</v>
          </cell>
          <cell r="P486">
            <v>14000</v>
          </cell>
        </row>
        <row r="487">
          <cell r="B487" t="str">
            <v>UV/IR DETECTOR CONTROLLER, 4-CHANNEL x1</v>
          </cell>
          <cell r="F487">
            <v>0</v>
          </cell>
          <cell r="H487">
            <v>0</v>
          </cell>
          <cell r="J487">
            <v>0</v>
          </cell>
          <cell r="K487">
            <v>0</v>
          </cell>
          <cell r="L487">
            <v>0</v>
          </cell>
          <cell r="M487">
            <v>0</v>
          </cell>
          <cell r="N487">
            <v>0</v>
          </cell>
          <cell r="O487">
            <v>0</v>
          </cell>
          <cell r="P487">
            <v>0</v>
          </cell>
        </row>
        <row r="488">
          <cell r="B488" t="str">
            <v>GAS DETECTOR CONTROLLER, 8-CHANNEL x8</v>
          </cell>
          <cell r="F488">
            <v>0</v>
          </cell>
          <cell r="H488">
            <v>0</v>
          </cell>
          <cell r="J488">
            <v>0</v>
          </cell>
          <cell r="K488">
            <v>0</v>
          </cell>
          <cell r="L488">
            <v>0</v>
          </cell>
          <cell r="M488">
            <v>0</v>
          </cell>
          <cell r="N488">
            <v>0</v>
          </cell>
          <cell r="O488">
            <v>0</v>
          </cell>
          <cell r="P488">
            <v>0</v>
          </cell>
        </row>
        <row r="489">
          <cell r="B489" t="str">
            <v>LOW TEMP. DETECTOR CONTROLLER, 4-CHANNEL x7</v>
          </cell>
          <cell r="F489">
            <v>0</v>
          </cell>
          <cell r="H489">
            <v>0</v>
          </cell>
          <cell r="J489">
            <v>0</v>
          </cell>
          <cell r="K489">
            <v>0</v>
          </cell>
          <cell r="L489">
            <v>0</v>
          </cell>
          <cell r="M489">
            <v>0</v>
          </cell>
          <cell r="N489">
            <v>0</v>
          </cell>
          <cell r="O489">
            <v>0</v>
          </cell>
          <cell r="P489">
            <v>0</v>
          </cell>
        </row>
        <row r="490">
          <cell r="B490" t="str">
            <v>POWER SUPPLY, WIRING, AND TB.</v>
          </cell>
          <cell r="F490">
            <v>0</v>
          </cell>
          <cell r="H490">
            <v>0</v>
          </cell>
          <cell r="J490">
            <v>0</v>
          </cell>
          <cell r="K490">
            <v>0</v>
          </cell>
          <cell r="L490">
            <v>0</v>
          </cell>
          <cell r="M490">
            <v>0</v>
          </cell>
          <cell r="N490">
            <v>0</v>
          </cell>
          <cell r="O490">
            <v>0</v>
          </cell>
          <cell r="P490">
            <v>0</v>
          </cell>
        </row>
        <row r="491">
          <cell r="A491">
            <v>5</v>
          </cell>
          <cell r="B491" t="str">
            <v>MANUAL STATION, 110VAC, CL.1 DIV.2, NEMA-4X</v>
          </cell>
          <cell r="C491">
            <v>16</v>
          </cell>
          <cell r="D491" t="str">
            <v>SET</v>
          </cell>
          <cell r="E491">
            <v>30000</v>
          </cell>
          <cell r="F491">
            <v>480000</v>
          </cell>
          <cell r="H491">
            <v>0</v>
          </cell>
          <cell r="I491">
            <v>5</v>
          </cell>
          <cell r="J491">
            <v>80</v>
          </cell>
          <cell r="K491">
            <v>30000</v>
          </cell>
          <cell r="L491">
            <v>480000</v>
          </cell>
          <cell r="M491">
            <v>0</v>
          </cell>
          <cell r="N491">
            <v>0</v>
          </cell>
          <cell r="O491">
            <v>1400</v>
          </cell>
          <cell r="P491">
            <v>22400</v>
          </cell>
        </row>
        <row r="492">
          <cell r="A492">
            <v>6</v>
          </cell>
          <cell r="B492" t="str">
            <v>SIREN(SPEAKER),, 110VAC, CL.1 DIV.2, NEMA-4X</v>
          </cell>
          <cell r="C492">
            <v>16</v>
          </cell>
          <cell r="D492" t="str">
            <v>SET</v>
          </cell>
          <cell r="E492">
            <v>40000</v>
          </cell>
          <cell r="F492">
            <v>640000</v>
          </cell>
          <cell r="H492">
            <v>0</v>
          </cell>
          <cell r="I492">
            <v>5</v>
          </cell>
          <cell r="J492">
            <v>80</v>
          </cell>
          <cell r="K492">
            <v>40000</v>
          </cell>
          <cell r="L492">
            <v>640000</v>
          </cell>
          <cell r="M492">
            <v>0</v>
          </cell>
          <cell r="N492">
            <v>0</v>
          </cell>
          <cell r="O492">
            <v>1400</v>
          </cell>
          <cell r="P492">
            <v>22400</v>
          </cell>
        </row>
        <row r="493">
          <cell r="A493">
            <v>7</v>
          </cell>
          <cell r="B493" t="str">
            <v>VISUAL ALARM BECON, , 110VAC, CL.1 DIV.2, NEMA-4X</v>
          </cell>
          <cell r="C493">
            <v>16</v>
          </cell>
          <cell r="D493" t="str">
            <v>SET</v>
          </cell>
          <cell r="E493">
            <v>37000</v>
          </cell>
          <cell r="F493">
            <v>592000</v>
          </cell>
          <cell r="H493">
            <v>0</v>
          </cell>
          <cell r="I493">
            <v>5</v>
          </cell>
          <cell r="J493">
            <v>80</v>
          </cell>
          <cell r="K493">
            <v>37000</v>
          </cell>
          <cell r="L493">
            <v>592000</v>
          </cell>
          <cell r="M493">
            <v>0</v>
          </cell>
          <cell r="N493">
            <v>0</v>
          </cell>
          <cell r="O493">
            <v>1400</v>
          </cell>
          <cell r="P493">
            <v>22400</v>
          </cell>
        </row>
        <row r="494">
          <cell r="A494">
            <v>8</v>
          </cell>
          <cell r="B494" t="str">
            <v>UV/IR FLAME DETECTOR, CL.1 DIV.2, NEMA-4X</v>
          </cell>
          <cell r="C494">
            <v>4</v>
          </cell>
          <cell r="D494" t="str">
            <v>SET</v>
          </cell>
          <cell r="E494">
            <v>67000</v>
          </cell>
          <cell r="F494">
            <v>268000</v>
          </cell>
          <cell r="H494">
            <v>0</v>
          </cell>
          <cell r="I494">
            <v>8</v>
          </cell>
          <cell r="J494">
            <v>32</v>
          </cell>
          <cell r="K494">
            <v>67000</v>
          </cell>
          <cell r="L494">
            <v>268000</v>
          </cell>
          <cell r="M494">
            <v>0</v>
          </cell>
          <cell r="N494">
            <v>0</v>
          </cell>
          <cell r="O494">
            <v>2240</v>
          </cell>
          <cell r="P494">
            <v>8960</v>
          </cell>
        </row>
        <row r="495">
          <cell r="A495">
            <v>9</v>
          </cell>
          <cell r="B495" t="str">
            <v>LOW TEMPERATURE DETECTOR, 50FT LG., NEMA-4X</v>
          </cell>
          <cell r="C495">
            <v>4</v>
          </cell>
          <cell r="D495" t="str">
            <v>SET</v>
          </cell>
          <cell r="E495">
            <v>288000</v>
          </cell>
          <cell r="F495">
            <v>1152000</v>
          </cell>
          <cell r="H495">
            <v>0</v>
          </cell>
          <cell r="I495">
            <v>10</v>
          </cell>
          <cell r="J495">
            <v>40</v>
          </cell>
          <cell r="K495">
            <v>288000</v>
          </cell>
          <cell r="L495">
            <v>1152000</v>
          </cell>
          <cell r="M495">
            <v>0</v>
          </cell>
          <cell r="N495">
            <v>0</v>
          </cell>
          <cell r="O495">
            <v>2800</v>
          </cell>
          <cell r="P495">
            <v>11200</v>
          </cell>
        </row>
        <row r="496">
          <cell r="A496">
            <v>10</v>
          </cell>
          <cell r="B496" t="str">
            <v>COMBUSTIBLE GAS DETECTOR,  CATALYTIC TYPE</v>
          </cell>
          <cell r="C496">
            <v>60</v>
          </cell>
          <cell r="D496" t="str">
            <v>EST</v>
          </cell>
          <cell r="E496">
            <v>50000</v>
          </cell>
          <cell r="F496">
            <v>3000000</v>
          </cell>
          <cell r="H496">
            <v>0</v>
          </cell>
          <cell r="I496">
            <v>5</v>
          </cell>
          <cell r="J496">
            <v>300</v>
          </cell>
          <cell r="K496">
            <v>50000</v>
          </cell>
          <cell r="L496">
            <v>3000000</v>
          </cell>
          <cell r="M496">
            <v>0</v>
          </cell>
          <cell r="N496">
            <v>0</v>
          </cell>
          <cell r="O496">
            <v>1400</v>
          </cell>
          <cell r="P496">
            <v>84000</v>
          </cell>
        </row>
        <row r="497">
          <cell r="B497" t="str">
            <v>CL.1, DIV.2, W/ WEATHER HOUSING, FILTER, NEMA-4X</v>
          </cell>
          <cell r="F497">
            <v>0</v>
          </cell>
          <cell r="H497">
            <v>0</v>
          </cell>
          <cell r="J497">
            <v>0</v>
          </cell>
          <cell r="K497">
            <v>0</v>
          </cell>
          <cell r="L497">
            <v>0</v>
          </cell>
          <cell r="M497">
            <v>0</v>
          </cell>
          <cell r="N497">
            <v>0</v>
          </cell>
          <cell r="O497">
            <v>0</v>
          </cell>
          <cell r="P497">
            <v>0</v>
          </cell>
        </row>
        <row r="498">
          <cell r="A498">
            <v>11</v>
          </cell>
          <cell r="B498" t="str">
            <v>GAS DETECTOR TEST KIT FOR 60 DETECTORS &amp; GRAPHIC PANEL</v>
          </cell>
          <cell r="C498">
            <v>1</v>
          </cell>
          <cell r="D498" t="str">
            <v>SET</v>
          </cell>
          <cell r="E498">
            <v>350000</v>
          </cell>
          <cell r="F498">
            <v>350000</v>
          </cell>
          <cell r="H498">
            <v>0</v>
          </cell>
          <cell r="I498">
            <v>10</v>
          </cell>
          <cell r="J498">
            <v>10</v>
          </cell>
          <cell r="K498">
            <v>350000</v>
          </cell>
          <cell r="L498">
            <v>350000</v>
          </cell>
          <cell r="M498">
            <v>0</v>
          </cell>
          <cell r="N498">
            <v>0</v>
          </cell>
          <cell r="O498">
            <v>2800</v>
          </cell>
          <cell r="P498">
            <v>2800</v>
          </cell>
        </row>
        <row r="499">
          <cell r="A499">
            <v>12</v>
          </cell>
          <cell r="B499" t="str">
            <v>R.S.G. CONDUIT/W COUPLING 1"</v>
          </cell>
          <cell r="C499">
            <v>1600</v>
          </cell>
          <cell r="D499" t="str">
            <v>M</v>
          </cell>
          <cell r="E499">
            <v>49</v>
          </cell>
          <cell r="F499">
            <v>78400</v>
          </cell>
          <cell r="H499">
            <v>0</v>
          </cell>
          <cell r="I499">
            <v>0.54</v>
          </cell>
          <cell r="J499">
            <v>864</v>
          </cell>
          <cell r="K499">
            <v>49</v>
          </cell>
          <cell r="L499">
            <v>78400</v>
          </cell>
          <cell r="M499">
            <v>0</v>
          </cell>
          <cell r="N499">
            <v>0</v>
          </cell>
          <cell r="O499">
            <v>151</v>
          </cell>
          <cell r="P499">
            <v>241600</v>
          </cell>
        </row>
        <row r="500">
          <cell r="A500">
            <v>13</v>
          </cell>
          <cell r="B500" t="str">
            <v>R.S.G. CONDUIT/W COUPLING 2"</v>
          </cell>
          <cell r="C500">
            <v>2300</v>
          </cell>
          <cell r="D500" t="str">
            <v>M</v>
          </cell>
          <cell r="E500">
            <v>105</v>
          </cell>
          <cell r="F500">
            <v>241500</v>
          </cell>
          <cell r="H500">
            <v>0</v>
          </cell>
          <cell r="I500">
            <v>0.98</v>
          </cell>
          <cell r="J500">
            <v>2254</v>
          </cell>
          <cell r="K500">
            <v>105</v>
          </cell>
          <cell r="L500">
            <v>241500</v>
          </cell>
          <cell r="M500">
            <v>0</v>
          </cell>
          <cell r="N500">
            <v>0</v>
          </cell>
          <cell r="O500">
            <v>274</v>
          </cell>
          <cell r="P500">
            <v>630200</v>
          </cell>
        </row>
        <row r="501">
          <cell r="A501">
            <v>14</v>
          </cell>
          <cell r="B501" t="str">
            <v>FITTING FOR R.S.G. CONDUIT</v>
          </cell>
          <cell r="C501">
            <v>1</v>
          </cell>
          <cell r="D501" t="str">
            <v>LOT</v>
          </cell>
          <cell r="E501">
            <v>639800</v>
          </cell>
          <cell r="F501">
            <v>639800</v>
          </cell>
          <cell r="H501">
            <v>0</v>
          </cell>
          <cell r="I501">
            <v>935.4</v>
          </cell>
          <cell r="J501">
            <v>935</v>
          </cell>
          <cell r="K501">
            <v>639800</v>
          </cell>
          <cell r="L501">
            <v>639800</v>
          </cell>
          <cell r="M501">
            <v>0</v>
          </cell>
          <cell r="N501">
            <v>0</v>
          </cell>
          <cell r="O501">
            <v>261912</v>
          </cell>
          <cell r="P501">
            <v>261912</v>
          </cell>
        </row>
        <row r="502">
          <cell r="A502">
            <v>15</v>
          </cell>
          <cell r="B502" t="str">
            <v>600V控制電纜,銅導体,PVC絕緣,麥拉遮蔽(OVERALL),</v>
          </cell>
          <cell r="C502">
            <v>650</v>
          </cell>
          <cell r="D502" t="str">
            <v>M</v>
          </cell>
          <cell r="E502">
            <v>37</v>
          </cell>
          <cell r="F502">
            <v>24050</v>
          </cell>
          <cell r="H502">
            <v>0</v>
          </cell>
          <cell r="I502">
            <v>0.11700000000000001</v>
          </cell>
          <cell r="J502">
            <v>76</v>
          </cell>
          <cell r="K502">
            <v>37</v>
          </cell>
          <cell r="L502">
            <v>24050</v>
          </cell>
          <cell r="M502">
            <v>0</v>
          </cell>
          <cell r="N502">
            <v>0</v>
          </cell>
          <cell r="O502">
            <v>33</v>
          </cell>
          <cell r="P502">
            <v>21450</v>
          </cell>
        </row>
        <row r="503">
          <cell r="B503" t="str">
            <v>PVC黑色被覆 7C-2SQ.MM</v>
          </cell>
          <cell r="F503">
            <v>0</v>
          </cell>
          <cell r="H503">
            <v>0</v>
          </cell>
          <cell r="J503">
            <v>0</v>
          </cell>
          <cell r="K503">
            <v>0</v>
          </cell>
          <cell r="L503">
            <v>0</v>
          </cell>
          <cell r="M503">
            <v>0</v>
          </cell>
          <cell r="N503">
            <v>0</v>
          </cell>
          <cell r="O503">
            <v>0</v>
          </cell>
          <cell r="P503">
            <v>0</v>
          </cell>
        </row>
        <row r="504">
          <cell r="A504">
            <v>16</v>
          </cell>
          <cell r="B504" t="str">
            <v>600V控制電纜,銅導体,PVC絕緣,麥拉遮蔽(OVERALL),</v>
          </cell>
          <cell r="C504">
            <v>1500</v>
          </cell>
          <cell r="D504" t="str">
            <v>M</v>
          </cell>
          <cell r="E504">
            <v>41</v>
          </cell>
          <cell r="F504">
            <v>61500</v>
          </cell>
          <cell r="H504">
            <v>0</v>
          </cell>
          <cell r="I504">
            <v>0.13300000000000001</v>
          </cell>
          <cell r="J504">
            <v>200</v>
          </cell>
          <cell r="K504">
            <v>41</v>
          </cell>
          <cell r="L504">
            <v>61500</v>
          </cell>
          <cell r="M504">
            <v>0</v>
          </cell>
          <cell r="N504">
            <v>0</v>
          </cell>
          <cell r="O504">
            <v>37</v>
          </cell>
          <cell r="P504">
            <v>55500</v>
          </cell>
        </row>
        <row r="505">
          <cell r="B505" t="str">
            <v>PVC黑色被覆 9C-2SQ.MM</v>
          </cell>
          <cell r="F505">
            <v>0</v>
          </cell>
          <cell r="H505">
            <v>0</v>
          </cell>
          <cell r="J505">
            <v>0</v>
          </cell>
          <cell r="K505">
            <v>0</v>
          </cell>
          <cell r="L505">
            <v>0</v>
          </cell>
          <cell r="M505">
            <v>0</v>
          </cell>
          <cell r="N505">
            <v>0</v>
          </cell>
          <cell r="O505">
            <v>0</v>
          </cell>
          <cell r="P505">
            <v>0</v>
          </cell>
        </row>
        <row r="506">
          <cell r="A506">
            <v>17</v>
          </cell>
          <cell r="B506" t="str">
            <v>600V控制電纜,銅導体,PVC絕緣,麥拉遮蔽(OVERALL),</v>
          </cell>
          <cell r="C506">
            <v>2600</v>
          </cell>
          <cell r="D506" t="str">
            <v>M</v>
          </cell>
          <cell r="E506">
            <v>53</v>
          </cell>
          <cell r="F506">
            <v>137800</v>
          </cell>
          <cell r="H506">
            <v>0</v>
          </cell>
          <cell r="I506">
            <v>0.153</v>
          </cell>
          <cell r="J506">
            <v>398</v>
          </cell>
          <cell r="K506">
            <v>53</v>
          </cell>
          <cell r="L506">
            <v>137800</v>
          </cell>
          <cell r="M506">
            <v>0</v>
          </cell>
          <cell r="N506">
            <v>0</v>
          </cell>
          <cell r="O506">
            <v>43</v>
          </cell>
          <cell r="P506">
            <v>111800</v>
          </cell>
        </row>
        <row r="507">
          <cell r="B507" t="str">
            <v>PVC黑色被覆 12C-2SQ.MM</v>
          </cell>
          <cell r="F507">
            <v>0</v>
          </cell>
          <cell r="H507">
            <v>0</v>
          </cell>
          <cell r="J507">
            <v>0</v>
          </cell>
          <cell r="K507">
            <v>0</v>
          </cell>
          <cell r="L507">
            <v>0</v>
          </cell>
          <cell r="M507">
            <v>0</v>
          </cell>
          <cell r="N507">
            <v>0</v>
          </cell>
          <cell r="O507">
            <v>0</v>
          </cell>
          <cell r="P507">
            <v>0</v>
          </cell>
        </row>
        <row r="508">
          <cell r="A508">
            <v>18</v>
          </cell>
          <cell r="B508" t="str">
            <v>600V控制電纜,銅導体,PVC絕緣,麥拉遮蔽(OVERALL),</v>
          </cell>
          <cell r="C508">
            <v>10000</v>
          </cell>
          <cell r="D508" t="str">
            <v>M</v>
          </cell>
          <cell r="E508">
            <v>44</v>
          </cell>
          <cell r="F508">
            <v>440000</v>
          </cell>
          <cell r="H508">
            <v>0</v>
          </cell>
          <cell r="I508">
            <v>0.13500000000000001</v>
          </cell>
          <cell r="J508">
            <v>1350</v>
          </cell>
          <cell r="K508">
            <v>44</v>
          </cell>
          <cell r="L508">
            <v>440000</v>
          </cell>
          <cell r="M508">
            <v>0</v>
          </cell>
          <cell r="N508">
            <v>0</v>
          </cell>
          <cell r="O508">
            <v>38</v>
          </cell>
          <cell r="P508">
            <v>380000</v>
          </cell>
        </row>
        <row r="509">
          <cell r="B509" t="str">
            <v>PVC黑色被覆 7C-3.5SQ.MM</v>
          </cell>
          <cell r="F509">
            <v>0</v>
          </cell>
          <cell r="H509">
            <v>0</v>
          </cell>
          <cell r="J509">
            <v>0</v>
          </cell>
          <cell r="K509">
            <v>0</v>
          </cell>
          <cell r="L509">
            <v>0</v>
          </cell>
          <cell r="M509">
            <v>0</v>
          </cell>
          <cell r="N509">
            <v>0</v>
          </cell>
          <cell r="O509">
            <v>0</v>
          </cell>
          <cell r="P509">
            <v>0</v>
          </cell>
        </row>
        <row r="510">
          <cell r="A510">
            <v>19</v>
          </cell>
          <cell r="B510" t="str">
            <v>600V控制電纜,銅導体,PVC絕緣,麥拉遮蔽(OVERALL),</v>
          </cell>
          <cell r="C510">
            <v>3000</v>
          </cell>
          <cell r="D510" t="str">
            <v>M</v>
          </cell>
          <cell r="E510">
            <v>76</v>
          </cell>
          <cell r="F510">
            <v>228000</v>
          </cell>
          <cell r="H510">
            <v>0</v>
          </cell>
          <cell r="I510">
            <v>0.193</v>
          </cell>
          <cell r="J510">
            <v>579</v>
          </cell>
          <cell r="K510">
            <v>76</v>
          </cell>
          <cell r="L510">
            <v>228000</v>
          </cell>
          <cell r="M510">
            <v>0</v>
          </cell>
          <cell r="N510">
            <v>0</v>
          </cell>
          <cell r="O510">
            <v>54</v>
          </cell>
          <cell r="P510">
            <v>162000</v>
          </cell>
        </row>
        <row r="511">
          <cell r="B511" t="str">
            <v>PVC黑色被覆 19C-2SQ.MM</v>
          </cell>
          <cell r="F511">
            <v>0</v>
          </cell>
          <cell r="H511">
            <v>0</v>
          </cell>
          <cell r="J511">
            <v>0</v>
          </cell>
          <cell r="K511">
            <v>0</v>
          </cell>
          <cell r="L511">
            <v>0</v>
          </cell>
          <cell r="M511">
            <v>0</v>
          </cell>
          <cell r="N511">
            <v>0</v>
          </cell>
          <cell r="O511">
            <v>0</v>
          </cell>
          <cell r="P511">
            <v>0</v>
          </cell>
        </row>
        <row r="512">
          <cell r="A512">
            <v>20</v>
          </cell>
          <cell r="B512" t="str">
            <v>600V控制電纜,銅導体,PVC絕緣,麥拉遮蔽(OVERALL),</v>
          </cell>
          <cell r="C512">
            <v>14000</v>
          </cell>
          <cell r="D512" t="str">
            <v>M</v>
          </cell>
          <cell r="E512">
            <v>119</v>
          </cell>
          <cell r="F512">
            <v>1666000</v>
          </cell>
          <cell r="H512">
            <v>0</v>
          </cell>
          <cell r="I512">
            <v>0.23599999999999999</v>
          </cell>
          <cell r="J512">
            <v>3304</v>
          </cell>
          <cell r="K512">
            <v>119</v>
          </cell>
          <cell r="L512">
            <v>1666000</v>
          </cell>
          <cell r="M512">
            <v>0</v>
          </cell>
          <cell r="N512">
            <v>0</v>
          </cell>
          <cell r="O512">
            <v>66</v>
          </cell>
          <cell r="P512">
            <v>924000</v>
          </cell>
        </row>
        <row r="513">
          <cell r="B513" t="str">
            <v>PVC黑色被覆 30C-2SQ.MM</v>
          </cell>
          <cell r="F513">
            <v>0</v>
          </cell>
          <cell r="H513">
            <v>0</v>
          </cell>
          <cell r="J513">
            <v>0</v>
          </cell>
          <cell r="K513">
            <v>0</v>
          </cell>
          <cell r="L513">
            <v>0</v>
          </cell>
          <cell r="M513">
            <v>0</v>
          </cell>
          <cell r="N513">
            <v>0</v>
          </cell>
          <cell r="O513">
            <v>0</v>
          </cell>
          <cell r="P513">
            <v>0</v>
          </cell>
        </row>
        <row r="514">
          <cell r="A514">
            <v>21</v>
          </cell>
          <cell r="B514" t="str">
            <v>300V信號電纜,PVC絕緣,麥拉遮蔽(OVERALL &amp; INDIVID)PVC</v>
          </cell>
          <cell r="C514">
            <v>12000</v>
          </cell>
          <cell r="D514" t="str">
            <v>M</v>
          </cell>
          <cell r="E514">
            <v>17</v>
          </cell>
          <cell r="F514">
            <v>204000</v>
          </cell>
          <cell r="H514">
            <v>0</v>
          </cell>
          <cell r="I514">
            <v>6.4000000000000001E-2</v>
          </cell>
          <cell r="J514">
            <v>768</v>
          </cell>
          <cell r="K514">
            <v>17</v>
          </cell>
          <cell r="L514">
            <v>204000</v>
          </cell>
          <cell r="M514">
            <v>0</v>
          </cell>
          <cell r="N514">
            <v>0</v>
          </cell>
          <cell r="O514">
            <v>18</v>
          </cell>
          <cell r="P514">
            <v>216000</v>
          </cell>
        </row>
        <row r="515">
          <cell r="B515" t="str">
            <v>黑色被覆  1TxAWG#16</v>
          </cell>
          <cell r="F515">
            <v>0</v>
          </cell>
          <cell r="H515">
            <v>0</v>
          </cell>
          <cell r="J515">
            <v>0</v>
          </cell>
          <cell r="K515">
            <v>0</v>
          </cell>
          <cell r="L515">
            <v>0</v>
          </cell>
          <cell r="M515">
            <v>0</v>
          </cell>
          <cell r="N515">
            <v>0</v>
          </cell>
          <cell r="O515">
            <v>0</v>
          </cell>
          <cell r="P515">
            <v>0</v>
          </cell>
        </row>
        <row r="516">
          <cell r="A516">
            <v>22</v>
          </cell>
          <cell r="B516" t="str">
            <v>300V信號電纜,PVC絕緣,麥拉遮蔽(OVERALL &amp; INDIVID)PVC</v>
          </cell>
          <cell r="C516">
            <v>3500</v>
          </cell>
          <cell r="D516" t="str">
            <v>M</v>
          </cell>
          <cell r="E516">
            <v>227</v>
          </cell>
          <cell r="F516">
            <v>794500</v>
          </cell>
          <cell r="H516">
            <v>0</v>
          </cell>
          <cell r="I516">
            <v>0.25</v>
          </cell>
          <cell r="J516">
            <v>875</v>
          </cell>
          <cell r="K516">
            <v>227</v>
          </cell>
          <cell r="L516">
            <v>794500</v>
          </cell>
          <cell r="M516">
            <v>0</v>
          </cell>
          <cell r="N516">
            <v>0</v>
          </cell>
          <cell r="O516">
            <v>70</v>
          </cell>
          <cell r="P516">
            <v>245000</v>
          </cell>
        </row>
        <row r="517">
          <cell r="B517" t="str">
            <v>黑色被覆  12TxAWG#14</v>
          </cell>
          <cell r="F517">
            <v>0</v>
          </cell>
          <cell r="H517">
            <v>0</v>
          </cell>
          <cell r="J517">
            <v>0</v>
          </cell>
          <cell r="K517">
            <v>0</v>
          </cell>
          <cell r="L517">
            <v>0</v>
          </cell>
          <cell r="M517">
            <v>0</v>
          </cell>
          <cell r="N517">
            <v>0</v>
          </cell>
          <cell r="O517">
            <v>0</v>
          </cell>
          <cell r="P517">
            <v>0</v>
          </cell>
        </row>
        <row r="518">
          <cell r="A518">
            <v>23</v>
          </cell>
          <cell r="B518" t="str">
            <v>300V信號電纜,PVC絕緣,麥拉遮蔽(OVERALL &amp; INDIVID)PVC</v>
          </cell>
          <cell r="C518">
            <v>350</v>
          </cell>
          <cell r="D518" t="str">
            <v>M</v>
          </cell>
          <cell r="E518">
            <v>471</v>
          </cell>
          <cell r="F518">
            <v>164850</v>
          </cell>
          <cell r="H518">
            <v>0</v>
          </cell>
          <cell r="I518">
            <v>0.4</v>
          </cell>
          <cell r="J518">
            <v>140</v>
          </cell>
          <cell r="K518">
            <v>471</v>
          </cell>
          <cell r="L518">
            <v>164850</v>
          </cell>
          <cell r="M518">
            <v>0</v>
          </cell>
          <cell r="N518">
            <v>0</v>
          </cell>
          <cell r="O518">
            <v>112</v>
          </cell>
          <cell r="P518">
            <v>39200</v>
          </cell>
        </row>
        <row r="519">
          <cell r="B519" t="str">
            <v>黑色被覆 24TxAWG#14</v>
          </cell>
          <cell r="F519">
            <v>0</v>
          </cell>
          <cell r="H519">
            <v>0</v>
          </cell>
          <cell r="J519">
            <v>0</v>
          </cell>
          <cell r="K519">
            <v>0</v>
          </cell>
          <cell r="L519">
            <v>0</v>
          </cell>
          <cell r="M519">
            <v>0</v>
          </cell>
          <cell r="N519">
            <v>0</v>
          </cell>
          <cell r="O519">
            <v>0</v>
          </cell>
          <cell r="P519">
            <v>0</v>
          </cell>
        </row>
        <row r="520">
          <cell r="A520">
            <v>24</v>
          </cell>
          <cell r="B520" t="str">
            <v>HOT DIPPED GALV, STEEL CHANNEL 100X50X5X7.5</v>
          </cell>
          <cell r="C520">
            <v>50</v>
          </cell>
          <cell r="D520" t="str">
            <v>M</v>
          </cell>
          <cell r="E520">
            <v>200</v>
          </cell>
          <cell r="F520">
            <v>10000</v>
          </cell>
          <cell r="H520">
            <v>0</v>
          </cell>
          <cell r="I520">
            <v>1.5</v>
          </cell>
          <cell r="J520">
            <v>75</v>
          </cell>
          <cell r="K520">
            <v>200</v>
          </cell>
          <cell r="L520">
            <v>10000</v>
          </cell>
          <cell r="M520">
            <v>0</v>
          </cell>
          <cell r="N520">
            <v>0</v>
          </cell>
          <cell r="O520">
            <v>420</v>
          </cell>
          <cell r="P520">
            <v>21000</v>
          </cell>
        </row>
        <row r="521">
          <cell r="A521">
            <v>25</v>
          </cell>
          <cell r="B521" t="str">
            <v>HOT DIPPED GALV, U- CHANNEL 41X41</v>
          </cell>
          <cell r="C521">
            <v>335</v>
          </cell>
          <cell r="D521" t="str">
            <v>M</v>
          </cell>
          <cell r="E521">
            <v>82</v>
          </cell>
          <cell r="F521">
            <v>27470</v>
          </cell>
          <cell r="H521">
            <v>0</v>
          </cell>
          <cell r="I521">
            <v>0.40699999999999997</v>
          </cell>
          <cell r="J521">
            <v>136</v>
          </cell>
          <cell r="K521">
            <v>82</v>
          </cell>
          <cell r="L521">
            <v>27470</v>
          </cell>
          <cell r="M521">
            <v>0</v>
          </cell>
          <cell r="N521">
            <v>0</v>
          </cell>
          <cell r="O521">
            <v>114</v>
          </cell>
          <cell r="P521">
            <v>38190</v>
          </cell>
        </row>
        <row r="522">
          <cell r="A522">
            <v>26</v>
          </cell>
          <cell r="B522" t="str">
            <v>FLEXIBLE CONDUIT 1"</v>
          </cell>
          <cell r="C522">
            <v>40</v>
          </cell>
          <cell r="D522" t="str">
            <v>M</v>
          </cell>
          <cell r="E522">
            <v>252</v>
          </cell>
          <cell r="F522">
            <v>10080</v>
          </cell>
          <cell r="H522">
            <v>0</v>
          </cell>
          <cell r="I522">
            <v>0.64</v>
          </cell>
          <cell r="J522">
            <v>26</v>
          </cell>
          <cell r="K522">
            <v>252</v>
          </cell>
          <cell r="L522">
            <v>10080</v>
          </cell>
          <cell r="M522">
            <v>0</v>
          </cell>
          <cell r="N522">
            <v>0</v>
          </cell>
          <cell r="O522">
            <v>179</v>
          </cell>
          <cell r="P522">
            <v>7160</v>
          </cell>
        </row>
        <row r="523">
          <cell r="A523">
            <v>27</v>
          </cell>
          <cell r="B523" t="str">
            <v>HOT DIPPED GALV. STEEL PLATE 1829X6401X3t</v>
          </cell>
          <cell r="C523">
            <v>2</v>
          </cell>
          <cell r="D523" t="str">
            <v>PCS</v>
          </cell>
          <cell r="E523">
            <v>1000</v>
          </cell>
          <cell r="F523">
            <v>2000</v>
          </cell>
          <cell r="H523">
            <v>0</v>
          </cell>
          <cell r="I523">
            <v>10</v>
          </cell>
          <cell r="J523">
            <v>20</v>
          </cell>
          <cell r="K523">
            <v>1000</v>
          </cell>
          <cell r="L523">
            <v>2000</v>
          </cell>
          <cell r="M523">
            <v>0</v>
          </cell>
          <cell r="N523">
            <v>0</v>
          </cell>
          <cell r="O523">
            <v>2800</v>
          </cell>
          <cell r="P523">
            <v>5600</v>
          </cell>
        </row>
        <row r="524">
          <cell r="A524">
            <v>28</v>
          </cell>
          <cell r="B524" t="str">
            <v>1/4圓(半徑30公分)低溫偵測器之補償器遮蔽板SS316製</v>
          </cell>
          <cell r="C524">
            <v>4</v>
          </cell>
          <cell r="D524" t="str">
            <v>PCS</v>
          </cell>
          <cell r="E524">
            <v>3000</v>
          </cell>
          <cell r="F524">
            <v>12000</v>
          </cell>
          <cell r="H524">
            <v>0</v>
          </cell>
          <cell r="I524">
            <v>4</v>
          </cell>
          <cell r="J524">
            <v>16</v>
          </cell>
          <cell r="K524">
            <v>3000</v>
          </cell>
          <cell r="L524">
            <v>12000</v>
          </cell>
          <cell r="M524">
            <v>0</v>
          </cell>
          <cell r="N524">
            <v>0</v>
          </cell>
          <cell r="O524">
            <v>1120</v>
          </cell>
          <cell r="P524">
            <v>4480</v>
          </cell>
        </row>
        <row r="525">
          <cell r="A525">
            <v>29</v>
          </cell>
          <cell r="B525" t="str">
            <v>接線箱,附端子板20P,FRP外殼,屋外防水型</v>
          </cell>
          <cell r="C525">
            <v>5</v>
          </cell>
          <cell r="D525" t="str">
            <v>SET</v>
          </cell>
          <cell r="E525">
            <v>3500</v>
          </cell>
          <cell r="F525">
            <v>17500</v>
          </cell>
          <cell r="H525">
            <v>0</v>
          </cell>
          <cell r="I525">
            <v>4</v>
          </cell>
          <cell r="J525">
            <v>20</v>
          </cell>
          <cell r="K525">
            <v>3500</v>
          </cell>
          <cell r="L525">
            <v>17500</v>
          </cell>
          <cell r="M525">
            <v>0</v>
          </cell>
          <cell r="N525">
            <v>0</v>
          </cell>
          <cell r="O525">
            <v>1120</v>
          </cell>
          <cell r="P525">
            <v>5600</v>
          </cell>
        </row>
        <row r="526">
          <cell r="A526">
            <v>30</v>
          </cell>
          <cell r="B526" t="str">
            <v>接線箱,附端子板50P,FRP外殼,屋外防水型</v>
          </cell>
          <cell r="C526">
            <v>4</v>
          </cell>
          <cell r="D526" t="str">
            <v>SET</v>
          </cell>
          <cell r="E526">
            <v>5500</v>
          </cell>
          <cell r="F526">
            <v>22000</v>
          </cell>
          <cell r="H526">
            <v>0</v>
          </cell>
          <cell r="I526">
            <v>8</v>
          </cell>
          <cell r="J526">
            <v>32</v>
          </cell>
          <cell r="K526">
            <v>5500</v>
          </cell>
          <cell r="L526">
            <v>22000</v>
          </cell>
          <cell r="M526">
            <v>0</v>
          </cell>
          <cell r="N526">
            <v>0</v>
          </cell>
          <cell r="O526">
            <v>2240</v>
          </cell>
          <cell r="P526">
            <v>8960</v>
          </cell>
        </row>
        <row r="527">
          <cell r="A527">
            <v>31</v>
          </cell>
          <cell r="B527" t="str">
            <v>接線箱,附端子板100P,FRP外殼,屋外防水型</v>
          </cell>
          <cell r="C527">
            <v>1</v>
          </cell>
          <cell r="D527" t="str">
            <v>SET</v>
          </cell>
          <cell r="E527">
            <v>9000</v>
          </cell>
          <cell r="F527">
            <v>9000</v>
          </cell>
          <cell r="H527">
            <v>0</v>
          </cell>
          <cell r="I527">
            <v>12</v>
          </cell>
          <cell r="J527">
            <v>12</v>
          </cell>
          <cell r="K527">
            <v>9000</v>
          </cell>
          <cell r="L527">
            <v>9000</v>
          </cell>
          <cell r="M527">
            <v>0</v>
          </cell>
          <cell r="N527">
            <v>0</v>
          </cell>
          <cell r="O527">
            <v>3360</v>
          </cell>
          <cell r="P527">
            <v>3360</v>
          </cell>
        </row>
        <row r="528">
          <cell r="A528">
            <v>32</v>
          </cell>
          <cell r="B528" t="str">
            <v>HOT DIPPED GALV, STEEL CHANNEL 100X50X5X7.5X2.4高</v>
          </cell>
          <cell r="C528">
            <v>26</v>
          </cell>
          <cell r="D528" t="str">
            <v>SET</v>
          </cell>
          <cell r="E528">
            <v>2400</v>
          </cell>
          <cell r="F528">
            <v>62400</v>
          </cell>
          <cell r="H528">
            <v>0</v>
          </cell>
          <cell r="I528">
            <v>3</v>
          </cell>
          <cell r="J528">
            <v>78</v>
          </cell>
          <cell r="K528">
            <v>2400</v>
          </cell>
          <cell r="L528">
            <v>62400</v>
          </cell>
          <cell r="M528">
            <v>0</v>
          </cell>
          <cell r="N528">
            <v>0</v>
          </cell>
          <cell r="O528">
            <v>840</v>
          </cell>
          <cell r="P528">
            <v>21840</v>
          </cell>
        </row>
        <row r="529">
          <cell r="B529" t="str">
            <v>附基礎</v>
          </cell>
          <cell r="F529">
            <v>0</v>
          </cell>
          <cell r="H529">
            <v>0</v>
          </cell>
          <cell r="J529">
            <v>0</v>
          </cell>
          <cell r="K529">
            <v>0</v>
          </cell>
          <cell r="L529">
            <v>0</v>
          </cell>
          <cell r="M529">
            <v>0</v>
          </cell>
          <cell r="N529">
            <v>0</v>
          </cell>
          <cell r="O529">
            <v>0</v>
          </cell>
          <cell r="P529">
            <v>0</v>
          </cell>
        </row>
        <row r="530">
          <cell r="A530">
            <v>33</v>
          </cell>
          <cell r="B530" t="str">
            <v>DITTO, BUT STEEL CHANNEL 為3.6M高</v>
          </cell>
          <cell r="C530">
            <v>13</v>
          </cell>
          <cell r="D530" t="str">
            <v>SET</v>
          </cell>
          <cell r="E530">
            <v>3600</v>
          </cell>
          <cell r="F530">
            <v>46800</v>
          </cell>
          <cell r="H530">
            <v>0</v>
          </cell>
          <cell r="I530">
            <v>4</v>
          </cell>
          <cell r="J530">
            <v>52</v>
          </cell>
          <cell r="K530">
            <v>3600</v>
          </cell>
          <cell r="L530">
            <v>46800</v>
          </cell>
          <cell r="M530">
            <v>0</v>
          </cell>
          <cell r="N530">
            <v>0</v>
          </cell>
          <cell r="O530">
            <v>1120</v>
          </cell>
          <cell r="P530">
            <v>14560</v>
          </cell>
        </row>
        <row r="531">
          <cell r="A531">
            <v>34</v>
          </cell>
          <cell r="B531" t="str">
            <v>DITTO, BUT STEEL CHANNEL 為1.95M高</v>
          </cell>
          <cell r="C531">
            <v>3</v>
          </cell>
          <cell r="D531" t="str">
            <v>SET</v>
          </cell>
          <cell r="E531">
            <v>2000</v>
          </cell>
          <cell r="F531">
            <v>6000</v>
          </cell>
          <cell r="H531">
            <v>0</v>
          </cell>
          <cell r="I531">
            <v>3</v>
          </cell>
          <cell r="J531">
            <v>9</v>
          </cell>
          <cell r="K531">
            <v>2000</v>
          </cell>
          <cell r="L531">
            <v>6000</v>
          </cell>
          <cell r="M531">
            <v>0</v>
          </cell>
          <cell r="N531">
            <v>0</v>
          </cell>
          <cell r="O531">
            <v>840</v>
          </cell>
          <cell r="P531">
            <v>2520</v>
          </cell>
        </row>
        <row r="532">
          <cell r="A532">
            <v>35</v>
          </cell>
          <cell r="B532" t="str">
            <v xml:space="preserve">MISCELLANEOUS </v>
          </cell>
          <cell r="C532">
            <v>1</v>
          </cell>
          <cell r="D532" t="str">
            <v>LOT</v>
          </cell>
          <cell r="E532">
            <v>743902.5</v>
          </cell>
          <cell r="F532">
            <v>743903</v>
          </cell>
          <cell r="H532">
            <v>0</v>
          </cell>
          <cell r="I532">
            <v>646.55000000000007</v>
          </cell>
          <cell r="J532">
            <v>647</v>
          </cell>
          <cell r="K532">
            <v>743903</v>
          </cell>
          <cell r="L532">
            <v>743903</v>
          </cell>
          <cell r="M532">
            <v>0</v>
          </cell>
          <cell r="N532">
            <v>0</v>
          </cell>
          <cell r="O532">
            <v>181034</v>
          </cell>
          <cell r="P532">
            <v>181034</v>
          </cell>
        </row>
        <row r="533">
          <cell r="B533" t="str">
            <v>SUB-TOTAL : (I)</v>
          </cell>
          <cell r="F533">
            <v>15621953</v>
          </cell>
          <cell r="H533">
            <v>0</v>
          </cell>
          <cell r="J533">
            <v>13628</v>
          </cell>
          <cell r="K533">
            <v>0</v>
          </cell>
          <cell r="L533">
            <v>15621953</v>
          </cell>
          <cell r="M533">
            <v>0</v>
          </cell>
          <cell r="N533">
            <v>0</v>
          </cell>
          <cell r="O533">
            <v>0</v>
          </cell>
          <cell r="P533">
            <v>3816326</v>
          </cell>
        </row>
        <row r="536">
          <cell r="A536" t="str">
            <v>J.</v>
          </cell>
          <cell r="B536" t="str">
            <v>U/G CONDUIT BANK</v>
          </cell>
          <cell r="F536">
            <v>0</v>
          </cell>
          <cell r="H536">
            <v>0</v>
          </cell>
          <cell r="J536">
            <v>0</v>
          </cell>
          <cell r="K536">
            <v>0</v>
          </cell>
          <cell r="L536">
            <v>0</v>
          </cell>
          <cell r="M536">
            <v>0</v>
          </cell>
          <cell r="N536">
            <v>0</v>
          </cell>
          <cell r="O536">
            <v>0</v>
          </cell>
          <cell r="P536">
            <v>0</v>
          </cell>
        </row>
        <row r="538">
          <cell r="A538" t="str">
            <v>J.1</v>
          </cell>
          <cell r="B538" t="str">
            <v>U/G CONDUIT BANK FOR TEL., P/P, CCTV, APS</v>
          </cell>
          <cell r="F538">
            <v>0</v>
          </cell>
          <cell r="H538">
            <v>0</v>
          </cell>
          <cell r="J538">
            <v>0</v>
          </cell>
          <cell r="K538">
            <v>0</v>
          </cell>
          <cell r="L538">
            <v>0</v>
          </cell>
          <cell r="M538">
            <v>0</v>
          </cell>
          <cell r="N538">
            <v>0</v>
          </cell>
          <cell r="O538">
            <v>0</v>
          </cell>
          <cell r="P538">
            <v>0</v>
          </cell>
        </row>
        <row r="539">
          <cell r="A539" t="str">
            <v>J.1.1</v>
          </cell>
          <cell r="B539" t="str">
            <v xml:space="preserve"> PVC CONDUIT, THICK WALL, CNS1302 SCH. B , 1"</v>
          </cell>
          <cell r="C539">
            <v>800</v>
          </cell>
          <cell r="D539" t="str">
            <v>M</v>
          </cell>
          <cell r="E539">
            <v>16</v>
          </cell>
          <cell r="F539">
            <v>12800</v>
          </cell>
          <cell r="H539">
            <v>0</v>
          </cell>
          <cell r="I539">
            <v>0.22</v>
          </cell>
          <cell r="J539">
            <v>176</v>
          </cell>
          <cell r="K539">
            <v>16</v>
          </cell>
          <cell r="L539">
            <v>12800</v>
          </cell>
          <cell r="M539">
            <v>0</v>
          </cell>
          <cell r="N539">
            <v>0</v>
          </cell>
          <cell r="O539">
            <v>62</v>
          </cell>
          <cell r="P539">
            <v>49600</v>
          </cell>
        </row>
        <row r="540">
          <cell r="A540" t="str">
            <v>J.1.2</v>
          </cell>
          <cell r="B540" t="str">
            <v xml:space="preserve"> PVC CONDUIT, THICK WALL, CNS1302 SCH. B , 2"</v>
          </cell>
          <cell r="C540">
            <v>22000</v>
          </cell>
          <cell r="D540" t="str">
            <v>M</v>
          </cell>
          <cell r="E540">
            <v>38</v>
          </cell>
          <cell r="F540">
            <v>836000</v>
          </cell>
          <cell r="H540">
            <v>0</v>
          </cell>
          <cell r="I540">
            <v>0.3</v>
          </cell>
          <cell r="J540">
            <v>6600</v>
          </cell>
          <cell r="K540">
            <v>38</v>
          </cell>
          <cell r="L540">
            <v>836000</v>
          </cell>
          <cell r="M540">
            <v>0</v>
          </cell>
          <cell r="N540">
            <v>0</v>
          </cell>
          <cell r="O540">
            <v>84</v>
          </cell>
          <cell r="P540">
            <v>1848000</v>
          </cell>
        </row>
        <row r="541">
          <cell r="A541" t="str">
            <v>J.1.3</v>
          </cell>
          <cell r="B541" t="str">
            <v xml:space="preserve"> PVC CONDUIT, THICK WALL, CNS1302 SCH. B , 4"</v>
          </cell>
          <cell r="C541">
            <v>16500</v>
          </cell>
          <cell r="D541" t="str">
            <v>M</v>
          </cell>
          <cell r="E541">
            <v>128</v>
          </cell>
          <cell r="F541">
            <v>2112000</v>
          </cell>
          <cell r="H541">
            <v>0</v>
          </cell>
          <cell r="I541">
            <v>0.43</v>
          </cell>
          <cell r="J541">
            <v>7095</v>
          </cell>
          <cell r="K541">
            <v>128</v>
          </cell>
          <cell r="L541">
            <v>2112000</v>
          </cell>
          <cell r="M541">
            <v>0</v>
          </cell>
          <cell r="N541">
            <v>0</v>
          </cell>
          <cell r="O541">
            <v>120</v>
          </cell>
          <cell r="P541">
            <v>1980000</v>
          </cell>
        </row>
        <row r="542">
          <cell r="A542" t="str">
            <v>J.1.4</v>
          </cell>
          <cell r="B542" t="str">
            <v xml:space="preserve"> PVC CONDUIT, THICK WALL, CNS1302 SCH. B , 6"</v>
          </cell>
          <cell r="C542">
            <v>8000</v>
          </cell>
          <cell r="D542" t="str">
            <v>M</v>
          </cell>
          <cell r="E542">
            <v>242</v>
          </cell>
          <cell r="F542">
            <v>1936000</v>
          </cell>
          <cell r="H542">
            <v>0</v>
          </cell>
          <cell r="I542">
            <v>0.68</v>
          </cell>
          <cell r="J542">
            <v>5440</v>
          </cell>
          <cell r="K542">
            <v>242</v>
          </cell>
          <cell r="L542">
            <v>1936000</v>
          </cell>
          <cell r="M542">
            <v>0</v>
          </cell>
          <cell r="N542">
            <v>0</v>
          </cell>
          <cell r="O542">
            <v>190</v>
          </cell>
          <cell r="P542">
            <v>1520000</v>
          </cell>
        </row>
        <row r="543">
          <cell r="A543" t="str">
            <v>J.1.5</v>
          </cell>
          <cell r="B543" t="str">
            <v xml:space="preserve"> EXCAVATION</v>
          </cell>
          <cell r="C543">
            <v>7000</v>
          </cell>
          <cell r="D543" t="str">
            <v>M3</v>
          </cell>
          <cell r="E543" t="str">
            <v>M+L</v>
          </cell>
          <cell r="F543" t="str">
            <v>M+L</v>
          </cell>
          <cell r="H543">
            <v>0</v>
          </cell>
          <cell r="J543">
            <v>0</v>
          </cell>
          <cell r="K543" t="str">
            <v>M+L</v>
          </cell>
          <cell r="L543" t="str">
            <v>M+L</v>
          </cell>
          <cell r="M543">
            <v>0</v>
          </cell>
          <cell r="N543">
            <v>0</v>
          </cell>
          <cell r="O543">
            <v>60</v>
          </cell>
          <cell r="P543">
            <v>420000</v>
          </cell>
        </row>
        <row r="544">
          <cell r="A544" t="str">
            <v>J.1.6</v>
          </cell>
          <cell r="B544" t="str">
            <v xml:space="preserve"> BACKFILL</v>
          </cell>
          <cell r="C544">
            <v>5100</v>
          </cell>
          <cell r="D544" t="str">
            <v>M3</v>
          </cell>
          <cell r="E544" t="str">
            <v>M+L</v>
          </cell>
          <cell r="F544" t="str">
            <v>M+L</v>
          </cell>
          <cell r="H544">
            <v>0</v>
          </cell>
          <cell r="J544">
            <v>0</v>
          </cell>
          <cell r="K544" t="str">
            <v>M+L</v>
          </cell>
          <cell r="L544" t="str">
            <v>M+L</v>
          </cell>
          <cell r="M544">
            <v>0</v>
          </cell>
          <cell r="N544">
            <v>0</v>
          </cell>
          <cell r="O544">
            <v>100</v>
          </cell>
          <cell r="P544">
            <v>510000</v>
          </cell>
        </row>
        <row r="545">
          <cell r="A545" t="str">
            <v>J.1.7</v>
          </cell>
          <cell r="B545" t="str">
            <v xml:space="preserve"> CONCRETE FOR DUCT BANK 2000 PSI</v>
          </cell>
          <cell r="C545">
            <v>1900</v>
          </cell>
          <cell r="D545" t="str">
            <v>M3</v>
          </cell>
          <cell r="E545" t="str">
            <v>M+L</v>
          </cell>
          <cell r="F545" t="str">
            <v>M+L</v>
          </cell>
          <cell r="H545">
            <v>0</v>
          </cell>
          <cell r="J545">
            <v>0</v>
          </cell>
          <cell r="K545" t="str">
            <v>M+L</v>
          </cell>
          <cell r="L545" t="str">
            <v>M+L</v>
          </cell>
          <cell r="M545">
            <v>0</v>
          </cell>
          <cell r="N545">
            <v>0</v>
          </cell>
          <cell r="O545">
            <v>1700</v>
          </cell>
          <cell r="P545">
            <v>3230000</v>
          </cell>
        </row>
        <row r="546">
          <cell r="A546" t="str">
            <v>J.1.8</v>
          </cell>
          <cell r="B546" t="str">
            <v xml:space="preserve"> RED COLORED OXIDE</v>
          </cell>
          <cell r="C546">
            <v>17100</v>
          </cell>
          <cell r="D546" t="str">
            <v>KG</v>
          </cell>
          <cell r="E546" t="str">
            <v>M+L</v>
          </cell>
          <cell r="F546" t="str">
            <v>M+L</v>
          </cell>
          <cell r="H546">
            <v>0</v>
          </cell>
          <cell r="J546">
            <v>0</v>
          </cell>
          <cell r="K546" t="str">
            <v>M+L</v>
          </cell>
          <cell r="L546" t="str">
            <v>M+L</v>
          </cell>
          <cell r="M546">
            <v>0</v>
          </cell>
          <cell r="N546">
            <v>0</v>
          </cell>
          <cell r="O546">
            <v>60</v>
          </cell>
          <cell r="P546">
            <v>1026000</v>
          </cell>
        </row>
        <row r="547">
          <cell r="A547" t="str">
            <v>J.1.9</v>
          </cell>
          <cell r="B547" t="str">
            <v xml:space="preserve"> DISPOSAL</v>
          </cell>
          <cell r="C547">
            <v>1900</v>
          </cell>
          <cell r="D547" t="str">
            <v>M3</v>
          </cell>
          <cell r="E547" t="str">
            <v>M+L</v>
          </cell>
          <cell r="F547" t="str">
            <v>M+L</v>
          </cell>
          <cell r="H547">
            <v>0</v>
          </cell>
          <cell r="J547">
            <v>0</v>
          </cell>
          <cell r="K547" t="str">
            <v>M+L</v>
          </cell>
          <cell r="L547" t="str">
            <v>M+L</v>
          </cell>
          <cell r="M547">
            <v>0</v>
          </cell>
          <cell r="N547">
            <v>0</v>
          </cell>
          <cell r="O547">
            <v>220</v>
          </cell>
          <cell r="P547">
            <v>418000</v>
          </cell>
        </row>
        <row r="548">
          <cell r="A548" t="str">
            <v>J.1.10</v>
          </cell>
          <cell r="B548" t="str">
            <v xml:space="preserve"> FORMWORK</v>
          </cell>
          <cell r="C548">
            <v>5200</v>
          </cell>
          <cell r="D548" t="str">
            <v>M2</v>
          </cell>
          <cell r="E548" t="str">
            <v>M+L</v>
          </cell>
          <cell r="F548" t="str">
            <v>M+L</v>
          </cell>
          <cell r="H548">
            <v>0</v>
          </cell>
          <cell r="J548">
            <v>0</v>
          </cell>
          <cell r="K548" t="str">
            <v>M+L</v>
          </cell>
          <cell r="L548" t="str">
            <v>M+L</v>
          </cell>
          <cell r="M548">
            <v>0</v>
          </cell>
          <cell r="N548">
            <v>0</v>
          </cell>
          <cell r="O548">
            <v>360</v>
          </cell>
          <cell r="P548">
            <v>1872000</v>
          </cell>
        </row>
        <row r="549">
          <cell r="A549" t="str">
            <v>J.1.11</v>
          </cell>
          <cell r="B549" t="str">
            <v xml:space="preserve"> RE-BAR</v>
          </cell>
          <cell r="C549">
            <v>36500</v>
          </cell>
          <cell r="D549" t="str">
            <v>KG</v>
          </cell>
          <cell r="E549" t="str">
            <v>M+L</v>
          </cell>
          <cell r="F549" t="str">
            <v>M+L</v>
          </cell>
          <cell r="H549">
            <v>0</v>
          </cell>
          <cell r="J549">
            <v>0</v>
          </cell>
          <cell r="K549" t="str">
            <v>M+L</v>
          </cell>
          <cell r="L549" t="str">
            <v>M+L</v>
          </cell>
          <cell r="M549">
            <v>0</v>
          </cell>
          <cell r="N549">
            <v>0</v>
          </cell>
          <cell r="O549">
            <v>16</v>
          </cell>
          <cell r="P549">
            <v>584000</v>
          </cell>
        </row>
        <row r="550">
          <cell r="A550" t="str">
            <v>J.1.12</v>
          </cell>
          <cell r="B550" t="str">
            <v xml:space="preserve"> MAN-HOLE, 2,000 L x 2,000 W x 2,000 D</v>
          </cell>
          <cell r="C550">
            <v>24</v>
          </cell>
          <cell r="D550" t="str">
            <v>SET</v>
          </cell>
          <cell r="E550" t="str">
            <v>M+L</v>
          </cell>
          <cell r="F550" t="str">
            <v>M+L</v>
          </cell>
          <cell r="H550">
            <v>0</v>
          </cell>
          <cell r="J550">
            <v>0</v>
          </cell>
          <cell r="K550" t="str">
            <v>M+L</v>
          </cell>
          <cell r="L550" t="str">
            <v>M+L</v>
          </cell>
          <cell r="M550">
            <v>0</v>
          </cell>
          <cell r="N550">
            <v>0</v>
          </cell>
          <cell r="O550">
            <v>65000</v>
          </cell>
          <cell r="P550">
            <v>1560000</v>
          </cell>
        </row>
        <row r="551">
          <cell r="A551" t="str">
            <v>J.1.13</v>
          </cell>
          <cell r="B551" t="str">
            <v xml:space="preserve"> MAN-HOLE, 1,500 L x 1,500 W x 2,000 D</v>
          </cell>
          <cell r="C551">
            <v>0</v>
          </cell>
          <cell r="D551" t="str">
            <v>SET</v>
          </cell>
          <cell r="E551" t="str">
            <v>M+L</v>
          </cell>
          <cell r="F551" t="str">
            <v>M+L</v>
          </cell>
          <cell r="H551">
            <v>0</v>
          </cell>
          <cell r="J551">
            <v>0</v>
          </cell>
          <cell r="K551" t="str">
            <v>M+L</v>
          </cell>
          <cell r="L551" t="str">
            <v>M+L</v>
          </cell>
          <cell r="M551">
            <v>0</v>
          </cell>
          <cell r="N551">
            <v>0</v>
          </cell>
          <cell r="O551">
            <v>52000</v>
          </cell>
          <cell r="P551">
            <v>0</v>
          </cell>
        </row>
        <row r="552">
          <cell r="A552" t="str">
            <v>J.1.14</v>
          </cell>
          <cell r="B552" t="str">
            <v xml:space="preserve"> COMPOND FOR WATER SEALING(IN MH.)</v>
          </cell>
          <cell r="C552">
            <v>2500</v>
          </cell>
          <cell r="D552" t="str">
            <v>KG</v>
          </cell>
          <cell r="E552" t="str">
            <v>M+L</v>
          </cell>
          <cell r="F552" t="str">
            <v>M+L</v>
          </cell>
          <cell r="H552">
            <v>0</v>
          </cell>
          <cell r="J552">
            <v>0</v>
          </cell>
          <cell r="K552" t="str">
            <v>M+L</v>
          </cell>
          <cell r="L552" t="str">
            <v>M+L</v>
          </cell>
          <cell r="M552">
            <v>0</v>
          </cell>
          <cell r="N552">
            <v>0</v>
          </cell>
          <cell r="O552">
            <v>200</v>
          </cell>
          <cell r="P552">
            <v>500000</v>
          </cell>
        </row>
        <row r="553">
          <cell r="B553" t="str">
            <v>SUB-TOTAL : (J.1)</v>
          </cell>
          <cell r="F553">
            <v>4896800</v>
          </cell>
          <cell r="J553">
            <v>19311</v>
          </cell>
          <cell r="L553">
            <v>4896800</v>
          </cell>
          <cell r="P553">
            <v>15517600</v>
          </cell>
        </row>
        <row r="555">
          <cell r="A555" t="str">
            <v>J.2</v>
          </cell>
          <cell r="B555" t="str">
            <v>U/G CONDUIT BANK FOR TEL., P/P, CCTV, APS</v>
          </cell>
          <cell r="F555">
            <v>0</v>
          </cell>
          <cell r="H555">
            <v>0</v>
          </cell>
          <cell r="J555">
            <v>0</v>
          </cell>
          <cell r="K555">
            <v>0</v>
          </cell>
          <cell r="L555">
            <v>0</v>
          </cell>
          <cell r="M555">
            <v>0</v>
          </cell>
          <cell r="N555">
            <v>0</v>
          </cell>
          <cell r="O555">
            <v>0</v>
          </cell>
          <cell r="P555">
            <v>0</v>
          </cell>
        </row>
        <row r="556">
          <cell r="A556" t="str">
            <v>J.2.1</v>
          </cell>
          <cell r="B556" t="str">
            <v xml:space="preserve"> PVC CONDUIT, THICK WALL, CNS1302 SCH. B , 1"</v>
          </cell>
          <cell r="C556">
            <v>1000</v>
          </cell>
          <cell r="D556" t="str">
            <v>M</v>
          </cell>
          <cell r="E556">
            <v>16</v>
          </cell>
          <cell r="F556">
            <v>16000</v>
          </cell>
          <cell r="H556">
            <v>0</v>
          </cell>
          <cell r="I556">
            <v>0.22</v>
          </cell>
          <cell r="J556">
            <v>220</v>
          </cell>
          <cell r="K556">
            <v>16</v>
          </cell>
          <cell r="L556">
            <v>16000</v>
          </cell>
          <cell r="M556">
            <v>0</v>
          </cell>
          <cell r="N556">
            <v>0</v>
          </cell>
          <cell r="O556">
            <v>62</v>
          </cell>
          <cell r="P556">
            <v>62000</v>
          </cell>
        </row>
        <row r="557">
          <cell r="A557" t="str">
            <v>J.2.2</v>
          </cell>
          <cell r="B557" t="str">
            <v xml:space="preserve"> PVC CONDUIT, THICK WALL, CNS1302 SCH. B , 2"</v>
          </cell>
          <cell r="C557">
            <v>26000</v>
          </cell>
          <cell r="D557" t="str">
            <v>M</v>
          </cell>
          <cell r="E557">
            <v>38</v>
          </cell>
          <cell r="F557">
            <v>988000</v>
          </cell>
          <cell r="H557">
            <v>0</v>
          </cell>
          <cell r="I557">
            <v>0.3</v>
          </cell>
          <cell r="J557">
            <v>7800</v>
          </cell>
          <cell r="K557">
            <v>38</v>
          </cell>
          <cell r="L557">
            <v>988000</v>
          </cell>
          <cell r="M557">
            <v>0</v>
          </cell>
          <cell r="N557">
            <v>0</v>
          </cell>
          <cell r="O557">
            <v>84</v>
          </cell>
          <cell r="P557">
            <v>2184000</v>
          </cell>
        </row>
        <row r="558">
          <cell r="A558" t="str">
            <v>J.2.3</v>
          </cell>
          <cell r="B558" t="str">
            <v xml:space="preserve"> EXCAVATION</v>
          </cell>
          <cell r="C558">
            <v>3500</v>
          </cell>
          <cell r="D558" t="str">
            <v>M3</v>
          </cell>
          <cell r="E558" t="str">
            <v>M+L</v>
          </cell>
          <cell r="F558" t="str">
            <v>M+L</v>
          </cell>
          <cell r="H558">
            <v>0</v>
          </cell>
          <cell r="J558">
            <v>0</v>
          </cell>
          <cell r="K558" t="str">
            <v>M+L</v>
          </cell>
          <cell r="L558" t="str">
            <v>M+L</v>
          </cell>
          <cell r="M558">
            <v>0</v>
          </cell>
          <cell r="N558">
            <v>0</v>
          </cell>
          <cell r="O558">
            <v>60</v>
          </cell>
          <cell r="P558">
            <v>210000</v>
          </cell>
        </row>
        <row r="559">
          <cell r="A559" t="str">
            <v>J.2.4</v>
          </cell>
          <cell r="B559" t="str">
            <v xml:space="preserve"> BACKFILL</v>
          </cell>
          <cell r="C559">
            <v>2550</v>
          </cell>
          <cell r="D559" t="str">
            <v>M3</v>
          </cell>
          <cell r="E559" t="str">
            <v>M+L</v>
          </cell>
          <cell r="F559" t="str">
            <v>M+L</v>
          </cell>
          <cell r="H559">
            <v>0</v>
          </cell>
          <cell r="J559">
            <v>0</v>
          </cell>
          <cell r="K559" t="str">
            <v>M+L</v>
          </cell>
          <cell r="L559" t="str">
            <v>M+L</v>
          </cell>
          <cell r="M559">
            <v>0</v>
          </cell>
          <cell r="N559">
            <v>0</v>
          </cell>
          <cell r="O559">
            <v>100</v>
          </cell>
          <cell r="P559">
            <v>255000</v>
          </cell>
        </row>
        <row r="560">
          <cell r="A560" t="str">
            <v>J.2.5</v>
          </cell>
          <cell r="B560" t="str">
            <v xml:space="preserve"> CONCRETE FOR DUCT BANK 2000 PSI</v>
          </cell>
          <cell r="C560">
            <v>950</v>
          </cell>
          <cell r="D560" t="str">
            <v>M3</v>
          </cell>
          <cell r="E560" t="str">
            <v>M+L</v>
          </cell>
          <cell r="F560" t="str">
            <v>M+L</v>
          </cell>
          <cell r="H560">
            <v>0</v>
          </cell>
          <cell r="J560">
            <v>0</v>
          </cell>
          <cell r="K560" t="str">
            <v>M+L</v>
          </cell>
          <cell r="L560" t="str">
            <v>M+L</v>
          </cell>
          <cell r="M560">
            <v>0</v>
          </cell>
          <cell r="N560">
            <v>0</v>
          </cell>
          <cell r="O560">
            <v>1700</v>
          </cell>
          <cell r="P560">
            <v>1615000</v>
          </cell>
        </row>
        <row r="561">
          <cell r="A561" t="str">
            <v>J.2.6</v>
          </cell>
          <cell r="B561" t="str">
            <v xml:space="preserve"> RED COLORED OXIDE</v>
          </cell>
          <cell r="C561">
            <v>8550</v>
          </cell>
          <cell r="D561" t="str">
            <v>KG</v>
          </cell>
          <cell r="E561" t="str">
            <v>M+L</v>
          </cell>
          <cell r="F561" t="str">
            <v>M+L</v>
          </cell>
          <cell r="H561">
            <v>0</v>
          </cell>
          <cell r="J561">
            <v>0</v>
          </cell>
          <cell r="K561" t="str">
            <v>M+L</v>
          </cell>
          <cell r="L561" t="str">
            <v>M+L</v>
          </cell>
          <cell r="M561">
            <v>0</v>
          </cell>
          <cell r="N561">
            <v>0</v>
          </cell>
          <cell r="O561">
            <v>60</v>
          </cell>
          <cell r="P561">
            <v>513000</v>
          </cell>
        </row>
        <row r="562">
          <cell r="A562" t="str">
            <v>J.2.7</v>
          </cell>
          <cell r="B562" t="str">
            <v xml:space="preserve"> DISPOSAL</v>
          </cell>
          <cell r="C562">
            <v>950</v>
          </cell>
          <cell r="D562" t="str">
            <v>M3</v>
          </cell>
          <cell r="E562" t="str">
            <v>M+L</v>
          </cell>
          <cell r="F562" t="str">
            <v>M+L</v>
          </cell>
          <cell r="H562">
            <v>0</v>
          </cell>
          <cell r="J562">
            <v>0</v>
          </cell>
          <cell r="K562" t="str">
            <v>M+L</v>
          </cell>
          <cell r="L562" t="str">
            <v>M+L</v>
          </cell>
          <cell r="M562">
            <v>0</v>
          </cell>
          <cell r="N562">
            <v>0</v>
          </cell>
          <cell r="O562">
            <v>220</v>
          </cell>
          <cell r="P562">
            <v>209000</v>
          </cell>
        </row>
        <row r="563">
          <cell r="A563" t="str">
            <v>J.2.8</v>
          </cell>
          <cell r="B563" t="str">
            <v xml:space="preserve"> FORMWORK</v>
          </cell>
          <cell r="C563">
            <v>2000</v>
          </cell>
          <cell r="D563" t="str">
            <v>M2</v>
          </cell>
          <cell r="E563" t="str">
            <v>M+L</v>
          </cell>
          <cell r="F563" t="str">
            <v>M+L</v>
          </cell>
          <cell r="H563">
            <v>0</v>
          </cell>
          <cell r="J563">
            <v>0</v>
          </cell>
          <cell r="K563" t="str">
            <v>M+L</v>
          </cell>
          <cell r="L563" t="str">
            <v>M+L</v>
          </cell>
          <cell r="M563">
            <v>0</v>
          </cell>
          <cell r="N563">
            <v>0</v>
          </cell>
          <cell r="O563">
            <v>360</v>
          </cell>
          <cell r="P563">
            <v>720000</v>
          </cell>
        </row>
        <row r="564">
          <cell r="A564" t="str">
            <v>J.2.9</v>
          </cell>
          <cell r="B564" t="str">
            <v xml:space="preserve"> RE-BAR</v>
          </cell>
          <cell r="C564">
            <v>18250</v>
          </cell>
          <cell r="D564" t="str">
            <v>KG</v>
          </cell>
          <cell r="E564" t="str">
            <v>M+L</v>
          </cell>
          <cell r="F564" t="str">
            <v>M+L</v>
          </cell>
          <cell r="H564">
            <v>0</v>
          </cell>
          <cell r="J564">
            <v>0</v>
          </cell>
          <cell r="K564" t="str">
            <v>M+L</v>
          </cell>
          <cell r="L564" t="str">
            <v>M+L</v>
          </cell>
          <cell r="M564">
            <v>0</v>
          </cell>
          <cell r="N564">
            <v>0</v>
          </cell>
          <cell r="O564">
            <v>16</v>
          </cell>
          <cell r="P564">
            <v>292000</v>
          </cell>
        </row>
        <row r="565">
          <cell r="A565" t="str">
            <v>J.2.10</v>
          </cell>
          <cell r="B565" t="str">
            <v xml:space="preserve"> MAN-HOLE, (與儀控共用)</v>
          </cell>
          <cell r="C565">
            <v>0</v>
          </cell>
          <cell r="D565" t="str">
            <v>SET</v>
          </cell>
          <cell r="P565">
            <v>0</v>
          </cell>
        </row>
        <row r="566">
          <cell r="A566" t="str">
            <v>J.2.11</v>
          </cell>
          <cell r="B566" t="str">
            <v xml:space="preserve"> HAND HOLE, 1200Lx1000Wx1200D</v>
          </cell>
          <cell r="C566">
            <v>7</v>
          </cell>
          <cell r="D566" t="str">
            <v>SET</v>
          </cell>
          <cell r="E566" t="str">
            <v>M+L</v>
          </cell>
          <cell r="F566" t="str">
            <v>M+L</v>
          </cell>
          <cell r="H566">
            <v>0</v>
          </cell>
          <cell r="J566">
            <v>0</v>
          </cell>
          <cell r="K566" t="str">
            <v>M+L</v>
          </cell>
          <cell r="L566" t="str">
            <v>M+L</v>
          </cell>
          <cell r="M566">
            <v>0</v>
          </cell>
          <cell r="N566">
            <v>0</v>
          </cell>
          <cell r="O566">
            <v>18000</v>
          </cell>
          <cell r="P566">
            <v>126000</v>
          </cell>
        </row>
        <row r="567">
          <cell r="A567" t="str">
            <v>J.2.12</v>
          </cell>
          <cell r="B567" t="str">
            <v xml:space="preserve"> COMPOND FOR WATER SEALING(IN MH.)</v>
          </cell>
          <cell r="C567">
            <v>1250</v>
          </cell>
          <cell r="D567" t="str">
            <v>KG</v>
          </cell>
          <cell r="E567" t="str">
            <v>M+L</v>
          </cell>
          <cell r="F567" t="str">
            <v>M+L</v>
          </cell>
          <cell r="H567">
            <v>0</v>
          </cell>
          <cell r="J567">
            <v>0</v>
          </cell>
          <cell r="K567" t="str">
            <v>M+L</v>
          </cell>
          <cell r="L567" t="str">
            <v>M+L</v>
          </cell>
          <cell r="M567">
            <v>0</v>
          </cell>
          <cell r="N567">
            <v>0</v>
          </cell>
          <cell r="O567">
            <v>200</v>
          </cell>
          <cell r="P567">
            <v>250000</v>
          </cell>
        </row>
        <row r="568">
          <cell r="B568" t="str">
            <v>SUB-TOTAL : (J.2)</v>
          </cell>
          <cell r="F568">
            <v>1004000</v>
          </cell>
          <cell r="J568">
            <v>8020</v>
          </cell>
          <cell r="L568">
            <v>1004000</v>
          </cell>
          <cell r="P568">
            <v>6436000</v>
          </cell>
        </row>
        <row r="569">
          <cell r="F569">
            <v>0</v>
          </cell>
          <cell r="H569">
            <v>0</v>
          </cell>
          <cell r="J569">
            <v>0</v>
          </cell>
          <cell r="K569">
            <v>0</v>
          </cell>
          <cell r="L569">
            <v>0</v>
          </cell>
          <cell r="M569">
            <v>0</v>
          </cell>
          <cell r="N569">
            <v>0</v>
          </cell>
          <cell r="O569">
            <v>0</v>
          </cell>
          <cell r="P569">
            <v>0</v>
          </cell>
        </row>
        <row r="570">
          <cell r="B570" t="str">
            <v>SUB-TOTAL : (J)</v>
          </cell>
          <cell r="F570">
            <v>5900800</v>
          </cell>
          <cell r="H570">
            <v>0</v>
          </cell>
          <cell r="J570">
            <v>27331</v>
          </cell>
          <cell r="K570">
            <v>0</v>
          </cell>
          <cell r="L570">
            <v>5900800</v>
          </cell>
          <cell r="M570">
            <v>0</v>
          </cell>
          <cell r="N570">
            <v>0</v>
          </cell>
          <cell r="O570">
            <v>0</v>
          </cell>
          <cell r="P570">
            <v>21953600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FP003E"/>
      <sheetName val="TOTAL"/>
      <sheetName val="Pivot(Silicate)"/>
      <sheetName val="Pivot(RockWool)"/>
      <sheetName val="Pivot(Form Glass)"/>
      <sheetName val="Pivot(Urethan)"/>
      <sheetName val="Pivot(Glass Wool)"/>
      <sheetName val="ROCK WOOL"/>
      <sheetName val="SILICATE"/>
      <sheetName val="Sheet1"/>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PE-03E"/>
      <sheetName val="KLHT"/>
      <sheetName val="THKP"/>
      <sheetName val="KL XL2000"/>
      <sheetName val="KLXL2001"/>
      <sheetName val="THKP2001"/>
      <sheetName val="KLphanbo"/>
      <sheetName val="Chiet tinh"/>
      <sheetName val="XL4Poppy"/>
      <sheetName val="Van chuyen"/>
      <sheetName val="THKP (2)"/>
      <sheetName val="T.Bi"/>
      <sheetName val="Thiet ke"/>
      <sheetName val="Sheet2"/>
      <sheetName val="Sheet1"/>
      <sheetName val="CT"/>
      <sheetName val="K.luong"/>
      <sheetName val="Sheet4"/>
      <sheetName val="Sheet3"/>
      <sheetName val="TT L2"/>
      <sheetName val="TT L1"/>
      <sheetName val="Thue Ngoai"/>
      <sheetName val="KH"/>
      <sheetName val="DM"/>
      <sheetName val="DD&amp;TV"/>
      <sheetName val="CDSL"/>
      <sheetName val="PTSL"/>
      <sheetName val="THCP"/>
      <sheetName val="VT"/>
      <sheetName val="NL"/>
      <sheetName val="SoSanh"/>
      <sheetName val="QTVT"/>
      <sheetName val="QTNC"/>
      <sheetName val="Sheet5"/>
      <sheetName val="Sheet6"/>
      <sheetName val="Sheet7"/>
      <sheetName val="Sheet8"/>
      <sheetName val="Sheet9"/>
      <sheetName val="Sheet10"/>
      <sheetName val="Sheet11"/>
      <sheetName val="Sheet12"/>
      <sheetName val="LUAN CHUYEN"/>
      <sheetName val="KE QUY"/>
      <sheetName val="CPC"/>
      <sheetName val="LUONGGIAN TIEP"/>
      <sheetName val="CLUONG"/>
      <sheetName val="VAY VON"/>
      <sheetName val="O.THAO"/>
      <sheetName val="Q.TRUNG"/>
      <sheetName val="THUY"/>
      <sheetName val="Y.THANH"/>
      <sheetName val="621"/>
      <sheetName val="333"/>
      <sheetName val="627"/>
      <sheetName val="TTLUONG"/>
      <sheetName val="Chart1"/>
      <sheetName val="Interim payment"/>
      <sheetName val="Letter"/>
      <sheetName val="Bid Sum"/>
      <sheetName val="Item B"/>
      <sheetName val="Dg A"/>
      <sheetName val="Dg B&amp;C"/>
      <sheetName val="Rates&amp;Prices"/>
      <sheetName val="Material at site"/>
      <sheetName val="Gia VL"/>
      <sheetName val="Bang gia ca may"/>
      <sheetName val="Bang luong CB"/>
      <sheetName val="Bang P.tich CT"/>
      <sheetName val="D.toan chi tiet"/>
      <sheetName val="Bang TH Dtoan"/>
      <sheetName val="XXXXXXXX"/>
      <sheetName val="1"/>
      <sheetName val="PTCT"/>
      <sheetName val="CDghino"/>
      <sheetName val="Tonghop"/>
      <sheetName val="TH (T1-6)"/>
      <sheetName val="ThueTB"/>
      <sheetName val="SCD5"/>
      <sheetName val=" NL"/>
      <sheetName val="CPVL-CPM"/>
      <sheetName val="PTVL"/>
      <sheetName val="TH"/>
      <sheetName val="CD1"/>
      <sheetName val=" NL (2)"/>
      <sheetName val="CDTHCT"/>
      <sheetName val="CDTHCT (3)"/>
      <sheetName val="BCC (2)"/>
      <sheetName val="Bao cao"/>
      <sheetName val="Bao cao 2"/>
      <sheetName val="BC3"/>
      <sheetName val="THKL"/>
      <sheetName val="Khoi luong"/>
      <sheetName val="Khoi luong mat"/>
      <sheetName val="Bang ke"/>
      <sheetName val="KLCL"/>
      <sheetName val="T.HopKL"/>
      <sheetName val="S.Luong"/>
      <sheetName val="PTCP2"/>
      <sheetName val="CPBVTC2"/>
      <sheetName val="D.Dap"/>
      <sheetName val="Q.Toan"/>
      <sheetName val="NCong"/>
      <sheetName val="Phan tich chi phi"/>
      <sheetName val="Chi phi nen theo BVTC"/>
      <sheetName val="CPTBVTC3"/>
      <sheetName val="nhan cong phu"/>
      <sheetName val="nhan cong Hung"/>
      <sheetName val="Nhan cong"/>
      <sheetName val="CCD2"/>
      <sheetName val="BCC"/>
      <sheetName val="Doi2"/>
      <sheetName val="Khoi luong nen theo BVTC"/>
      <sheetName val="binh do"/>
      <sheetName val="cot lieu"/>
      <sheetName val="van khuon"/>
      <sheetName val="CT BT"/>
      <sheetName val="lay mau"/>
      <sheetName val="mat ngoai goi"/>
      <sheetName val="coc tram-bt"/>
      <sheetName val="DTHH"/>
      <sheetName val="Bang1"/>
      <sheetName val="TAI TRONG"/>
      <sheetName val="NOI LUC"/>
      <sheetName val="TINH DUYET THTT CHINH"/>
      <sheetName val="TDUYET THTT PHU"/>
      <sheetName val="TINH DAO DONG VA DO VONG"/>
      <sheetName val="TINH NEO"/>
      <sheetName val="116(300)"/>
      <sheetName val="116(200)"/>
      <sheetName val="116(150)"/>
      <sheetName val="00000000"/>
      <sheetName val="MD"/>
      <sheetName val="ND"/>
      <sheetName val="CONG"/>
      <sheetName val="DGCT"/>
      <sheetName val="BC_KKTSCD"/>
      <sheetName val="Chitiet"/>
      <sheetName val="Sheet2 (2)"/>
      <sheetName val="Mau_BC_KKTSCD"/>
      <sheetName val="Chi tiet - Dv lap"/>
      <sheetName val="TH KHTC"/>
      <sheetName val="000"/>
      <sheetName val="Dong Dau"/>
      <sheetName val="Dong Dau (2)"/>
      <sheetName val="Sau dong"/>
      <sheetName val="Ma xa"/>
      <sheetName val="My dinh"/>
      <sheetName val="Tong cong"/>
      <sheetName val="KH 2003 (moi max)"/>
      <sheetName val="Bang VL"/>
      <sheetName val="VL(No V-c)"/>
      <sheetName val="He so"/>
      <sheetName val="PL Vua"/>
      <sheetName val="Chitieu-dam cac loai"/>
      <sheetName val="DG Dam"/>
      <sheetName val="DG chung"/>
      <sheetName val="DGdg"/>
      <sheetName val="VL-dac chung"/>
      <sheetName val="CocKN1m"/>
      <sheetName val="Coc40x40cm"/>
      <sheetName val="CT 1md &amp; dau cong"/>
      <sheetName val="Tong hop"/>
      <sheetName val="CT cong"/>
      <sheetName val="dg cong"/>
      <sheetName val="DT"/>
      <sheetName val="THND"/>
      <sheetName val="klcong"/>
      <sheetName val="THMD"/>
      <sheetName val="Phtro1"/>
      <sheetName val="DTKS1"/>
      <sheetName val="CT1m"/>
      <sheetName val="thkl (2)"/>
      <sheetName val="kht8"/>
      <sheetName val="long tec"/>
      <sheetName val="nlongt"/>
      <sheetName val="tuanb"/>
      <sheetName val="ntuanb"/>
      <sheetName val="nbinh"/>
      <sheetName val="nque"/>
      <sheetName val="ntien"/>
      <sheetName val="ntuanH"/>
      <sheetName val="nmuoi"/>
      <sheetName val="nnghia"/>
      <sheetName val="ntuanM"/>
      <sheetName val="nthi"/>
      <sheetName val="nchung"/>
      <sheetName val="nanh"/>
      <sheetName val="nthang"/>
      <sheetName val="nnguyen"/>
      <sheetName val="ntuc"/>
      <sheetName val="nngan"/>
      <sheetName val="nloi"/>
      <sheetName val="nphuock"/>
      <sheetName val="nphuoch"/>
      <sheetName val="nsonpd"/>
      <sheetName val="nphuock04"/>
      <sheetName val="nphuoch04"/>
      <sheetName val="nphuocpd04"/>
      <sheetName val="nphuocd04"/>
      <sheetName val="nphuoctr04"/>
      <sheetName val="nphuocb04"/>
      <sheetName val="phong"/>
      <sheetName val="Km0-Km1"/>
      <sheetName val="Km1-Km2"/>
      <sheetName val="BU CTPH"/>
      <sheetName val="CTPH"/>
      <sheetName val="BU tran3+360.22"/>
      <sheetName val="Tran3+360.22"/>
      <sheetName val="BU tran2+386.4"/>
      <sheetName val="Tran2+386.4"/>
      <sheetName val="Bu4-5"/>
      <sheetName val="DTcong 4-5"/>
      <sheetName val="BU3-4"/>
      <sheetName val="dtcong3-4"/>
      <sheetName val="bu2-3"/>
      <sheetName val="dtcong2-3"/>
      <sheetName val="Bu 1-2"/>
      <sheetName val="dtcong1-2"/>
      <sheetName val="bu0-1"/>
      <sheetName val="dtcong0-1"/>
      <sheetName val="KLc1"/>
      <sheetName val="Bu 12-13"/>
      <sheetName val="DTcong 12-13"/>
      <sheetName val="BU13-13+"/>
      <sheetName val="DT cong13-13+"/>
      <sheetName val="BU- nhanh"/>
      <sheetName val="Bunh1-2"/>
      <sheetName val="dtcong nh1-2"/>
      <sheetName val="BUnh0-1"/>
      <sheetName val="dtcong nh0-1"/>
      <sheetName val="BU5-6"/>
      <sheetName val="DTcong5-6"/>
      <sheetName val="BU6-7"/>
      <sheetName val="DTcong6-7"/>
      <sheetName val="BU7-8"/>
      <sheetName val="DTcong7-8"/>
      <sheetName val="BU8-9"/>
      <sheetName val="DTcong8-9"/>
      <sheetName val="BU9-10"/>
      <sheetName val="DTcong9-10"/>
      <sheetName val="BU10-11"/>
      <sheetName val="DTcong10-11"/>
      <sheetName val="BU 11-12"/>
      <sheetName val="DTcong 11-12"/>
      <sheetName val="Mnh1-2+80"/>
      <sheetName val="Pr- CC"/>
      <sheetName val="Nnh1-2+80"/>
      <sheetName val="Mnh0-1"/>
      <sheetName val="Nnh0-1"/>
      <sheetName val="MD13-13+334"/>
      <sheetName val="ND13-13+334"/>
      <sheetName val="BU-TK"/>
      <sheetName val="MD12-13"/>
      <sheetName val="ND12-13"/>
      <sheetName val="MD11-12"/>
      <sheetName val="ND11-12"/>
      <sheetName val="MD10-11"/>
      <sheetName val="ND10-11"/>
      <sheetName val="MD9-10"/>
      <sheetName val="ND9-10"/>
      <sheetName val="MD8-9"/>
      <sheetName val="ND8-9"/>
      <sheetName val="MD7-8"/>
      <sheetName val="ND7-8"/>
      <sheetName val="MD6-7"/>
      <sheetName val="ND6-7"/>
      <sheetName val="MD5-6"/>
      <sheetName val="ND5-6"/>
      <sheetName val="MD4-5"/>
      <sheetName val="ND4-5"/>
      <sheetName val="MD 3-4"/>
      <sheetName val="ND 3-4"/>
      <sheetName val="MD2-3"/>
      <sheetName val="ND2-3"/>
      <sheetName val="MD 1-2"/>
      <sheetName val="ND 1-2"/>
      <sheetName val="MD 0-1"/>
      <sheetName val="ND 0-1"/>
      <sheetName val="km11-12"/>
      <sheetName val="km10-11"/>
      <sheetName val="KLN"/>
      <sheetName val="KL tong"/>
      <sheetName val="Congty"/>
      <sheetName val="VPPN"/>
      <sheetName val="XN74"/>
      <sheetName val="XN54"/>
      <sheetName val="XN33"/>
      <sheetName val="NK96"/>
      <sheetName val="XL4Test5"/>
      <sheetName val="THCT"/>
      <sheetName val="cap cho cac DT"/>
      <sheetName val="Ung - hoan"/>
      <sheetName val="CP may"/>
      <sheetName val="SS"/>
      <sheetName val="NVL"/>
      <sheetName val="10000000"/>
      <sheetName val="372+132-181"/>
      <sheetName val="372+00-025-T"/>
      <sheetName val="371+920-1000-T"/>
      <sheetName val="371-340-386"/>
      <sheetName val="371+036-175"/>
      <sheetName val="371+920-1000-P"/>
      <sheetName val="371+650-800"/>
      <sheetName val="371+340-386"/>
      <sheetName val="371+00-150"/>
      <sheetName val="370+625-720"/>
      <sheetName val="370+402-550"/>
      <sheetName val="370+227-300"/>
      <sheetName val="370+00-10"/>
      <sheetName val="370+933-1000"/>
      <sheetName val="370+421-550"/>
      <sheetName val="370+246-280"/>
      <sheetName val="370+135-160"/>
      <sheetName val="369+700-730"/>
      <sheetName val="369+592-700"/>
      <sheetName val="369+400-542"/>
      <sheetName val="369+940-008"/>
      <sheetName val="369+800-908"/>
      <sheetName val="369+606-722"/>
      <sheetName val="369+411-526"/>
      <sheetName val="368+517-580"/>
      <sheetName val="368+822-900"/>
      <sheetName val="368+530-687"/>
      <sheetName val="368+00-25"/>
      <sheetName val="369+"/>
      <sheetName val="AC PC"/>
      <sheetName val="LT"/>
      <sheetName val="LP"/>
      <sheetName val="Dao-P"/>
      <sheetName val="AC66-436"/>
      <sheetName val="Dao-T"/>
      <sheetName val="cd viaK0-T6"/>
      <sheetName val="cdvia T6-Tc24"/>
      <sheetName val="cdvia Tc24-T46"/>
      <sheetName val="cdbtnL2ko-k0+361"/>
      <sheetName val="cd btnL2k0+361-T19"/>
      <sheetName val="01"/>
      <sheetName val="02"/>
      <sheetName val="03"/>
      <sheetName val="04"/>
      <sheetName val="05"/>
      <sheetName val="Sheet13"/>
      <sheetName val="Sheet14"/>
      <sheetName val="Sheet15"/>
      <sheetName val="Sheet16"/>
      <sheetName val="Sheet17"/>
      <sheetName val="Sheet18"/>
      <sheetName val="Sheet19"/>
      <sheetName val="Sheet20"/>
      <sheetName val="Chart2"/>
      <sheetName val="TM"/>
      <sheetName val="Bia"/>
      <sheetName val="BU-gian"/>
      <sheetName val="Bu-Ha"/>
      <sheetName val="PTVT"/>
      <sheetName val="Gia DAN"/>
      <sheetName val="Dan"/>
      <sheetName val="Cuoc"/>
      <sheetName val="Bugia"/>
      <sheetName val="KL57"/>
      <sheetName val="26+180-400.2"/>
      <sheetName val="26+180.Sub1"/>
      <sheetName val="26+180.Sub4"/>
      <sheetName val="26+180-400.5(k95)"/>
      <sheetName val="26+400-620.3(k95)"/>
      <sheetName val="26+400-640.1(k95)"/>
      <sheetName val="26+960-27+150.9"/>
      <sheetName val="26+960-27+150.10"/>
      <sheetName val="26+960-27+150.11"/>
      <sheetName val="26+960-27+150.12"/>
      <sheetName val="26+960-27+150.5(k95)"/>
      <sheetName val="26+960-27+150.4(k95)"/>
      <sheetName val="26+960-27+150.1(k95)"/>
      <sheetName val="27+500-700.5(k95)"/>
      <sheetName val="27+500-700.4(k95)"/>
      <sheetName val="27+500-700.3(k95)"/>
      <sheetName val="27+500-700.1(k95)"/>
      <sheetName val="27+740-920.3(k95)"/>
      <sheetName val="27+740-920.21"/>
      <sheetName val="27+920-28+040.6,7"/>
      <sheetName val="27+920-28+040,8,9"/>
      <sheetName val="27+920-28+040.10"/>
      <sheetName val="27+920-28+040,11"/>
      <sheetName val="27+920-28+160.Su3"/>
      <sheetName val="28+160-28+420,17Top"/>
      <sheetName val="28+160-28+420.5K95"/>
      <sheetName val="28+430-657.7"/>
      <sheetName val="Km28+430-657.8"/>
      <sheetName val="28+430-657.9"/>
      <sheetName val="28+430-667.10"/>
      <sheetName val="28+430-657.11"/>
      <sheetName val="28+430-657.4k95"/>
      <sheetName val="28+500-657.18"/>
      <sheetName val="28+520-657.19"/>
      <sheetName val="VL"/>
      <sheetName val="CTXD"/>
      <sheetName val=".."/>
      <sheetName val="CTDN"/>
      <sheetName val="san vuon"/>
      <sheetName val="khu phu tro"/>
      <sheetName val="Phu luc"/>
      <sheetName val="Gia trÞ"/>
      <sheetName val="KH12"/>
      <sheetName val="CN12"/>
      <sheetName val="HD12"/>
      <sheetName val="KH1"/>
      <sheetName val="Thuyet minh"/>
      <sheetName val="CQ-HQ"/>
      <sheetName val="be tong"/>
      <sheetName val="Thep"/>
      <sheetName val="Tong hop thep"/>
      <sheetName val="CT Duong"/>
      <sheetName val="D.gia"/>
      <sheetName val="T.hop"/>
      <sheetName val="Khoan"/>
      <sheetName val="CtP.tro"/>
      <sheetName val="Nha moi"/>
      <sheetName val="NamBanThach"/>
      <sheetName val="KhoanDuong"/>
      <sheetName val="DeNghiDuong"/>
      <sheetName val="TT-BDH-B1"/>
      <sheetName val="TT-T.Tron So 2"/>
      <sheetName val="TT-Doi6-Dot-1"/>
      <sheetName val="ChietTinh"/>
      <sheetName val="Ct.Dam "/>
      <sheetName val="Ct.Duoi"/>
      <sheetName val="Ct.Tren"/>
      <sheetName val="CtVKdam"/>
      <sheetName val="asphal"/>
      <sheetName val="Gvua"/>
      <sheetName val="D.giaMay"/>
      <sheetName val="Thep "/>
      <sheetName val="Chi tiet Khoi luong"/>
      <sheetName val="TH khoi luong"/>
      <sheetName val="Chiet tinh vat lieu "/>
      <sheetName val="TH KL VL"/>
      <sheetName val="phan tich DG"/>
      <sheetName val="gia vat lieu"/>
      <sheetName val="gia xe may"/>
      <sheetName val="gia nhan cong"/>
      <sheetName val="tong hop thanh toan thue"/>
      <sheetName val="bang ke nop thue"/>
      <sheetName val="Tonh hop chi phi"/>
      <sheetName val="BK chi phi"/>
      <sheetName val="KTra DS va thue GTGT"/>
      <sheetName val="Kiãøm tra DS thue GTGT"/>
      <sheetName val="XUAT(gia von)"/>
      <sheetName val="nhap"/>
      <sheetName val="Xuat (gia ban)"/>
      <sheetName val="Dchinh TH N-X-T"/>
      <sheetName val="Tong hop N-X-T"/>
      <sheetName val="thue TH"/>
      <sheetName val="tong hop 2001"/>
      <sheetName val="qUYET TOAN THUE"/>
      <sheetName val="N-X-T=L"/>
      <sheetName val="cong Q2"/>
      <sheetName val="T.U luong Q1"/>
      <sheetName val="T.U luong Q2"/>
      <sheetName val="T.U luong Q3"/>
      <sheetName val="CDTHU CHI T1"/>
      <sheetName val="THUCHI 2"/>
      <sheetName val="THU CHI3"/>
      <sheetName val="THU CHI 4"/>
      <sheetName val="THU CHI5"/>
      <sheetName val="THU CHI 6"/>
      <sheetName val="TU CHI 7"/>
      <sheetName val="THU CHI9"/>
      <sheetName val="THU CHI 8"/>
      <sheetName val="THU CHI 10"/>
      <sheetName val="THU CHI 11"/>
      <sheetName val="THU CHI 12"/>
      <sheetName val="tscd"/>
      <sheetName val="DS them luong qui 4-2002"/>
      <sheetName val="Phuc loi 2-9-02"/>
      <sheetName val="PCLB-2002"/>
      <sheetName val="Thuong nhan dip 21-12-02"/>
      <sheetName val="Thuong dip nhan danh hieu AHL§"/>
      <sheetName val="Thang luong thu 13 nam 2002"/>
      <sheetName val="Luong SX# dip Tet Qui Mui(dong)"/>
      <sheetName val="dutoan1"/>
      <sheetName val="Anhtoan"/>
      <sheetName val="dutoan2"/>
      <sheetName val="vat tu"/>
      <sheetName val="Dc Dau"/>
      <sheetName val=" o to Hien 8"/>
      <sheetName val=" o to Hien9"/>
      <sheetName val=" o to Hien10"/>
      <sheetName val=" o to Hien11"/>
      <sheetName val=" o to Hien12)"/>
      <sheetName val=" o to Hien1"/>
      <sheetName val=" o to Hien2"/>
      <sheetName val=" o to Hien3"/>
      <sheetName val=" o to Hien4"/>
      <sheetName val=" o to Hien5"/>
      <sheetName val=" o to Phong 8"/>
      <sheetName val=" o to Phong9"/>
      <sheetName val=" o to Phong10"/>
      <sheetName val=" o to Phong11"/>
      <sheetName val=" o to Phong12)"/>
      <sheetName val=" o to Phong1"/>
      <sheetName val=" o to Phong2"/>
      <sheetName val=" o to Phong3"/>
      <sheetName val=" o to Phong4"/>
      <sheetName val=" o to Phong5"/>
      <sheetName val=" o to Dung 8 "/>
      <sheetName val=" D tt dau8"/>
      <sheetName val=" o to Dung 9"/>
      <sheetName val=" D9 tt dau"/>
      <sheetName val=" D10 tt dau"/>
      <sheetName val=" o to Dung 10"/>
      <sheetName val=" o to Dung 11"/>
      <sheetName val=" o to Dung 12)"/>
      <sheetName val=" o to Dung 1"/>
      <sheetName val=" o to Dung2"/>
      <sheetName val=" o to Dung3"/>
      <sheetName val=" o to Dung4"/>
      <sheetName val=" o totrongT10-12"/>
      <sheetName val=" o totrongT2"/>
      <sheetName val=" o totrungT10-12"/>
      <sheetName val=" o toMinhT10-12 "/>
      <sheetName val=" o toMinhT2"/>
      <sheetName val=" o toTrieuT10-12  "/>
      <sheetName val="Luong 8 SP"/>
      <sheetName val="Luong 9 SP "/>
      <sheetName val="Luong 10 SP "/>
      <sheetName val="Luong 11 SP "/>
      <sheetName val="Luong 12 SP"/>
      <sheetName val="Luong 1 SP1"/>
      <sheetName val="Luong 2 SP2"/>
      <sheetName val="Luong 3 SP3"/>
      <sheetName val="Luong 4 SP4"/>
      <sheetName val="Luong 4 SP5"/>
      <sheetName val="BTTTLT8"/>
      <sheetName val="BTTTLT9"/>
      <sheetName val="BTTTLT10"/>
      <sheetName val="BTTTLT11"/>
      <sheetName val="BTTTLT12"/>
      <sheetName val="BTTTLT1"/>
      <sheetName val="BTTTLT2"/>
      <sheetName val="BTTTLT3"/>
      <sheetName val="BTTTLT4"/>
      <sheetName val="BTTTLT5"/>
      <sheetName val="K249 K98"/>
      <sheetName val="K249 K98 (2)"/>
      <sheetName val="K251 K98"/>
      <sheetName val="K251 SBase"/>
      <sheetName val="K251 AC"/>
      <sheetName val="K252 K98"/>
      <sheetName val="K252 SBase"/>
      <sheetName val="K252 AC"/>
      <sheetName val="K253"/>
      <sheetName val="K253 K98"/>
      <sheetName val="K253 Subbase"/>
      <sheetName val="K253 Base "/>
      <sheetName val="K253 SBase"/>
      <sheetName val="K253 AC"/>
      <sheetName val="K255"/>
      <sheetName val="K255 SBase"/>
      <sheetName val="K259"/>
      <sheetName val="K259 K98"/>
      <sheetName val="K259 Subbase"/>
      <sheetName val="K259 Base "/>
      <sheetName val="K259 AC"/>
      <sheetName val="K260"/>
      <sheetName val="K260 K98"/>
      <sheetName val="K260 Subbase"/>
      <sheetName val="K260 Base"/>
      <sheetName val="K260 AC"/>
      <sheetName val="K261"/>
      <sheetName val="K261 K98"/>
      <sheetName val="K261 Base"/>
      <sheetName val="K261 AC"/>
      <sheetName val="Quang Tri"/>
      <sheetName val="TTHue"/>
      <sheetName val="Da Nang"/>
      <sheetName val="Quang Nam"/>
      <sheetName val="Quang Ngai"/>
      <sheetName val="TH DH-QN"/>
      <sheetName val="KP HD"/>
      <sheetName val="DB HD"/>
      <sheetName val="CHIT"/>
      <sheetName val="THXH"/>
      <sheetName val="BHXH"/>
      <sheetName val="Quyet toan"/>
      <sheetName val="Thu hoi"/>
      <sheetName val="Lai vay"/>
      <sheetName val="Tien vay"/>
      <sheetName val="Cong no"/>
      <sheetName val="Cop pha"/>
      <sheetName val="20000000"/>
      <sheetName val="00000001"/>
      <sheetName val="00000002"/>
      <sheetName val="00000003"/>
      <sheetName val="00000004"/>
      <sheetName val="Dec31"/>
      <sheetName val="Jan2"/>
      <sheetName val="Jan3"/>
      <sheetName val="Jan4"/>
      <sheetName val="Jan6"/>
      <sheetName val="Jan7"/>
      <sheetName val="Jan8"/>
      <sheetName val="Jan9"/>
      <sheetName val="Jan10"/>
      <sheetName val="Jan11"/>
      <sheetName val="Jan13"/>
      <sheetName val="Jan14"/>
      <sheetName val="Jan15"/>
      <sheetName val="Jan16"/>
      <sheetName val="Jan17"/>
      <sheetName val="Jan18"/>
      <sheetName val="Jan20"/>
      <sheetName val="Jan21"/>
      <sheetName val="Jan22"/>
      <sheetName val="Jan23"/>
      <sheetName val="Jan24"/>
      <sheetName val="Jan25"/>
      <sheetName val="Jan27"/>
      <sheetName val="Jan28"/>
      <sheetName val="9"/>
      <sheetName val="10"/>
      <sheetName val="NRC"/>
      <sheetName val="DG SOC"/>
      <sheetName val="DG HQ"/>
      <sheetName val="ENFALUX"/>
      <sheetName val="NHXP"/>
      <sheetName val="KGIAT"/>
      <sheetName val="KDR"/>
      <sheetName val="JAVEL"/>
      <sheetName val="vita"/>
      <sheetName val="TPXM"/>
      <sheetName val="XM"/>
      <sheetName val="Bot Giat C"/>
      <sheetName val="Bot Giat P "/>
      <sheetName val="TP"/>
      <sheetName val="BRTAICHE"/>
      <sheetName val="THBKEO"/>
      <sheetName val="PBBKEO"/>
      <sheetName val="THAY THUNG H"/>
      <sheetName val="BBKK"/>
      <sheetName val="thi nghiem"/>
      <sheetName val="CBQT"/>
      <sheetName val="Outlets"/>
      <sheetName val="PGs"/>
      <sheetName val="TK111"/>
      <sheetName val="TK112"/>
      <sheetName val="TK131"/>
      <sheetName val="TK1331"/>
      <sheetName val="TK136"/>
      <sheetName val="TK138"/>
      <sheetName val="TK141"/>
      <sheetName val="TK152"/>
      <sheetName val="TK153"/>
      <sheetName val="TK154"/>
      <sheetName val="TK211"/>
      <sheetName val="TK214"/>
      <sheetName val="TK311"/>
      <sheetName val="TK331"/>
      <sheetName val="TK3331"/>
      <sheetName val="TK3334"/>
      <sheetName val="TK334"/>
      <sheetName val="TK335"/>
      <sheetName val="TK336"/>
      <sheetName val="KM"/>
      <sheetName val="KHOANMUC"/>
      <sheetName val="CPQL"/>
      <sheetName val="SANLUONG"/>
      <sheetName val="SSCP-SL"/>
      <sheetName val="CPSX"/>
      <sheetName val="KQKD"/>
      <sheetName val="CDSL (2)"/>
      <sheetName val="sent to"/>
      <sheetName val="PACK"/>
      <sheetName val="INV"/>
      <sheetName val="TK-XUAT"/>
      <sheetName val="TK-NHAP"/>
      <sheetName val="DT 1"/>
      <sheetName val="DT 2"/>
      <sheetName val="DT 3"/>
      <sheetName val="SP"/>
      <sheetName val="NPL"/>
      <sheetName val="N"/>
      <sheetName val="X"/>
      <sheetName val="cong bien t10"/>
      <sheetName val="luong t9 "/>
      <sheetName val="bb t9"/>
      <sheetName val="XETT10-03"/>
      <sheetName val="bxet"/>
      <sheetName val="CT xa"/>
      <sheetName val="TLGC"/>
      <sheetName val="BL"/>
      <sheetName val="tc"/>
      <sheetName val="TDT"/>
      <sheetName val="xl"/>
      <sheetName val="NN"/>
      <sheetName val="Tralaivay"/>
      <sheetName val="TBTN"/>
      <sheetName val="CPTV"/>
      <sheetName val="PCCHAY"/>
      <sheetName val="dtks"/>
      <sheetName val="C47-QI-2003"/>
      <sheetName val="ytq1"/>
      <sheetName val="C48-QI-2003"/>
      <sheetName val="cap so lan 2"/>
      <sheetName val="cap so BHXH"/>
      <sheetName val="tru tien"/>
      <sheetName val="C45-2003"/>
      <sheetName val="C47-QII-2003"/>
      <sheetName val="C48-QII-2003"/>
      <sheetName val="yt q2"/>
      <sheetName val="all"/>
      <sheetName val="c45 t3"/>
      <sheetName val="c45 t6"/>
      <sheetName val="BHYT Q3.2003"/>
      <sheetName val="C45 t7"/>
      <sheetName val="C47-t07.2003"/>
      <sheetName val="C45 t8"/>
      <sheetName val="C47-t08.2003"/>
      <sheetName val="C45 t09"/>
      <sheetName val="C47-t09.2003"/>
      <sheetName val="C45T12"/>
      <sheetName val="C47 T12"/>
      <sheetName val="BHYT Q4-2003"/>
      <sheetName val="C47T11"/>
      <sheetName val="C45T11"/>
      <sheetName val="C45 T10"/>
      <sheetName val="C47-t10"/>
      <sheetName val="PXuat"/>
      <sheetName val="THVT.T5"/>
    </sheetNames>
    <definedNames>
      <definedName name="DataFilter"/>
      <definedName name="DataSort"/>
      <definedName name="GoBack" sheetId="14"/>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PANEL 南區焚化爐"/>
      <sheetName val="NEW-PANEL"/>
      <sheetName val="MV-PANEL"/>
    </sheetNames>
    <sheetDataSet>
      <sheetData sheetId="0"/>
      <sheetData sheetId="1"/>
      <sheetData sheetId="2"/>
      <sheetData sheetId="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BASE"/>
      <sheetName val="MTO REV.0"/>
    </sheetNames>
    <sheetDataSet>
      <sheetData sheetId="0">
        <row r="7">
          <cell r="AH7" t="str">
            <v>SP1</v>
          </cell>
          <cell r="AI7" t="str">
            <v>SOLVENT CLEANING   (SSPC-SP-1)</v>
          </cell>
          <cell r="AJ7">
            <v>60</v>
          </cell>
          <cell r="AK7">
            <v>60</v>
          </cell>
          <cell r="AL7">
            <v>60</v>
          </cell>
        </row>
        <row r="8">
          <cell r="AH8" t="str">
            <v>SP2</v>
          </cell>
          <cell r="AI8" t="str">
            <v>HAND CLEANING   (SSPC-SP-2)</v>
          </cell>
          <cell r="AJ8">
            <v>50</v>
          </cell>
          <cell r="AK8">
            <v>50</v>
          </cell>
          <cell r="AL8">
            <v>50</v>
          </cell>
        </row>
        <row r="9">
          <cell r="AH9" t="str">
            <v>SP3</v>
          </cell>
          <cell r="AI9" t="str">
            <v>POWER CLEANING   (SSPC-SP-3)</v>
          </cell>
          <cell r="AJ9">
            <v>50</v>
          </cell>
          <cell r="AK9">
            <v>50</v>
          </cell>
          <cell r="AL9">
            <v>50</v>
          </cell>
        </row>
        <row r="10">
          <cell r="AH10" t="str">
            <v>SP5</v>
          </cell>
          <cell r="AI10" t="str">
            <v>WHITE METAL BLAST   (SSPC-SP-5)</v>
          </cell>
          <cell r="AJ10">
            <v>90</v>
          </cell>
          <cell r="AK10">
            <v>90</v>
          </cell>
          <cell r="AL10">
            <v>90</v>
          </cell>
        </row>
        <row r="11">
          <cell r="AH11" t="str">
            <v>SP6</v>
          </cell>
          <cell r="AI11" t="str">
            <v>COMMERCIAL BLAST (SSPC-SP-6)</v>
          </cell>
          <cell r="AJ11">
            <v>70</v>
          </cell>
          <cell r="AK11">
            <v>70</v>
          </cell>
          <cell r="AL11">
            <v>70</v>
          </cell>
        </row>
        <row r="12">
          <cell r="AH12" t="str">
            <v>SP7</v>
          </cell>
          <cell r="AI12" t="str">
            <v>BRUSH OFF BLAST CLEANING (SSPC-SP7)</v>
          </cell>
          <cell r="AJ12">
            <v>50</v>
          </cell>
          <cell r="AK12">
            <v>50</v>
          </cell>
          <cell r="AL12">
            <v>50</v>
          </cell>
        </row>
        <row r="13">
          <cell r="AH13" t="str">
            <v>SP8</v>
          </cell>
          <cell r="AI13" t="str">
            <v>PICKLING  (SSPC-SP-8)</v>
          </cell>
          <cell r="AJ13">
            <v>350</v>
          </cell>
          <cell r="AK13">
            <v>350</v>
          </cell>
          <cell r="AL13">
            <v>350</v>
          </cell>
        </row>
        <row r="14">
          <cell r="AH14" t="str">
            <v>SP10</v>
          </cell>
          <cell r="AI14" t="str">
            <v>NEAR WHITE BLAST (SSPC-SP-10)</v>
          </cell>
          <cell r="AJ14">
            <v>80</v>
          </cell>
          <cell r="AK14">
            <v>80</v>
          </cell>
          <cell r="AL14">
            <v>80</v>
          </cell>
        </row>
        <row r="16">
          <cell r="AH16" t="str">
            <v>RLP</v>
          </cell>
          <cell r="AI16" t="str">
            <v>RED LEAD PRIMER</v>
          </cell>
          <cell r="AJ16" t="str">
            <v>0101</v>
          </cell>
          <cell r="AK16" t="str">
            <v>905(OP-91)</v>
          </cell>
          <cell r="AL16" t="str">
            <v>210</v>
          </cell>
          <cell r="AM16">
            <v>1</v>
          </cell>
          <cell r="AN16">
            <v>9.1999999999999993</v>
          </cell>
          <cell r="AO16">
            <v>9.6999999999999993</v>
          </cell>
          <cell r="AP16">
            <v>14.8</v>
          </cell>
          <cell r="AQ16">
            <v>47.83</v>
          </cell>
          <cell r="AR16">
            <v>45.36</v>
          </cell>
          <cell r="AS16">
            <v>38.51</v>
          </cell>
          <cell r="AT16">
            <v>440</v>
          </cell>
          <cell r="AU16">
            <v>440</v>
          </cell>
          <cell r="AV16">
            <v>570</v>
          </cell>
        </row>
        <row r="17">
          <cell r="AI17" t="str">
            <v>RED LEAD PRIMER</v>
          </cell>
          <cell r="AJ17" t="str">
            <v>0102</v>
          </cell>
          <cell r="AK17" t="str">
            <v>906(OP-92)</v>
          </cell>
          <cell r="AL17" t="str">
            <v>220</v>
          </cell>
          <cell r="AM17">
            <v>1</v>
          </cell>
          <cell r="AN17">
            <v>8.7799999999999994</v>
          </cell>
          <cell r="AO17">
            <v>10</v>
          </cell>
          <cell r="AP17">
            <v>12.4</v>
          </cell>
          <cell r="AQ17">
            <v>47.83</v>
          </cell>
          <cell r="AR17">
            <v>42</v>
          </cell>
          <cell r="AS17">
            <v>38.71</v>
          </cell>
          <cell r="AT17">
            <v>420</v>
          </cell>
          <cell r="AU17">
            <v>420</v>
          </cell>
          <cell r="AV17">
            <v>480</v>
          </cell>
        </row>
        <row r="18">
          <cell r="AI18" t="str">
            <v>B P RED LEAD PRIMER</v>
          </cell>
          <cell r="AJ18" t="str">
            <v>0103</v>
          </cell>
          <cell r="AK18" t="str">
            <v>911</v>
          </cell>
          <cell r="AM18">
            <v>1</v>
          </cell>
          <cell r="AN18">
            <v>8.44</v>
          </cell>
          <cell r="AO18">
            <v>9</v>
          </cell>
          <cell r="AQ18">
            <v>45</v>
          </cell>
          <cell r="AR18">
            <v>42.22</v>
          </cell>
          <cell r="AT18">
            <v>380</v>
          </cell>
          <cell r="AU18">
            <v>380</v>
          </cell>
        </row>
        <row r="19">
          <cell r="AH19" t="str">
            <v>ATP</v>
          </cell>
          <cell r="AI19" t="str">
            <v xml:space="preserve">ALUMINUM TRIPOLYPHOSPHATE PRIMER </v>
          </cell>
          <cell r="AJ19" t="str">
            <v>0107</v>
          </cell>
          <cell r="AK19" t="str">
            <v>992</v>
          </cell>
          <cell r="AL19" t="str">
            <v>221</v>
          </cell>
          <cell r="AM19">
            <v>1</v>
          </cell>
          <cell r="AN19">
            <v>12.6</v>
          </cell>
          <cell r="AO19">
            <v>7.09</v>
          </cell>
          <cell r="AP19">
            <v>11.4</v>
          </cell>
          <cell r="AQ19">
            <v>39.68</v>
          </cell>
          <cell r="AR19">
            <v>42.31</v>
          </cell>
          <cell r="AS19">
            <v>38.6</v>
          </cell>
          <cell r="AT19">
            <v>500</v>
          </cell>
          <cell r="AU19">
            <v>300</v>
          </cell>
          <cell r="AV19">
            <v>440</v>
          </cell>
        </row>
        <row r="20">
          <cell r="AH20" t="str">
            <v>AZCP</v>
          </cell>
          <cell r="AI20" t="str">
            <v xml:space="preserve">ALKYD ZINC CHROMATE PRIMER </v>
          </cell>
          <cell r="AJ20" t="str">
            <v>0111</v>
          </cell>
          <cell r="AK20" t="str">
            <v>907(OP-93)</v>
          </cell>
          <cell r="AL20" t="str">
            <v>240</v>
          </cell>
          <cell r="AM20">
            <v>1</v>
          </cell>
          <cell r="AN20">
            <v>10.9</v>
          </cell>
          <cell r="AO20">
            <v>10.6</v>
          </cell>
          <cell r="AP20">
            <v>9</v>
          </cell>
          <cell r="AQ20">
            <v>40.369999999999997</v>
          </cell>
          <cell r="AR20">
            <v>41.51</v>
          </cell>
          <cell r="AS20">
            <v>40.89</v>
          </cell>
          <cell r="AT20">
            <v>440</v>
          </cell>
          <cell r="AU20">
            <v>440</v>
          </cell>
          <cell r="AV20">
            <v>368</v>
          </cell>
        </row>
        <row r="21">
          <cell r="AH21" t="str">
            <v>ROP</v>
          </cell>
          <cell r="AI21" t="str">
            <v xml:space="preserve">RED OXIDE PRIMER </v>
          </cell>
          <cell r="AJ21" t="str">
            <v>0121</v>
          </cell>
          <cell r="AK21" t="str">
            <v>904(OP-95)</v>
          </cell>
          <cell r="AL21" t="str">
            <v>230</v>
          </cell>
          <cell r="AM21">
            <v>1</v>
          </cell>
          <cell r="AN21">
            <v>6.5</v>
          </cell>
          <cell r="AO21">
            <v>8.1999999999999993</v>
          </cell>
          <cell r="AP21">
            <v>5.2</v>
          </cell>
          <cell r="AQ21">
            <v>46.15</v>
          </cell>
          <cell r="AR21">
            <v>41.46</v>
          </cell>
          <cell r="AS21">
            <v>57.12</v>
          </cell>
          <cell r="AT21">
            <v>300</v>
          </cell>
          <cell r="AU21">
            <v>340</v>
          </cell>
          <cell r="AV21">
            <v>297</v>
          </cell>
        </row>
        <row r="22">
          <cell r="AH22" t="str">
            <v>GS</v>
          </cell>
          <cell r="AI22" t="str">
            <v xml:space="preserve">GRAY SURFACE </v>
          </cell>
          <cell r="AJ22" t="str">
            <v>0141</v>
          </cell>
          <cell r="AK22" t="str">
            <v>501</v>
          </cell>
          <cell r="AL22" t="str">
            <v>090</v>
          </cell>
          <cell r="AM22">
            <v>1</v>
          </cell>
          <cell r="AN22">
            <v>8.1</v>
          </cell>
          <cell r="AO22">
            <v>12.1</v>
          </cell>
          <cell r="AP22">
            <v>12.6</v>
          </cell>
          <cell r="AQ22">
            <v>37.04</v>
          </cell>
          <cell r="AR22">
            <v>37.19</v>
          </cell>
          <cell r="AS22">
            <v>37.94</v>
          </cell>
          <cell r="AT22">
            <v>300</v>
          </cell>
          <cell r="AU22">
            <v>450</v>
          </cell>
          <cell r="AV22">
            <v>478</v>
          </cell>
        </row>
        <row r="23">
          <cell r="AH23" t="str">
            <v>RMP</v>
          </cell>
          <cell r="AI23" t="str">
            <v>READY-MIXED PAINT</v>
          </cell>
          <cell r="AJ23" t="str">
            <v>0151</v>
          </cell>
          <cell r="AK23" t="str">
            <v>111</v>
          </cell>
          <cell r="AL23" t="str">
            <v>100</v>
          </cell>
          <cell r="AM23">
            <v>1</v>
          </cell>
          <cell r="AN23">
            <v>10.9</v>
          </cell>
          <cell r="AO23">
            <v>9.6</v>
          </cell>
          <cell r="AP23">
            <v>10</v>
          </cell>
          <cell r="AQ23">
            <v>41.28</v>
          </cell>
          <cell r="AR23">
            <v>41.67</v>
          </cell>
          <cell r="AS23">
            <v>38</v>
          </cell>
          <cell r="AT23">
            <v>450</v>
          </cell>
          <cell r="AU23">
            <v>400</v>
          </cell>
          <cell r="AV23">
            <v>380</v>
          </cell>
        </row>
        <row r="24">
          <cell r="AH24" t="str">
            <v>FRMP</v>
          </cell>
          <cell r="AI24" t="str">
            <v xml:space="preserve">FLAT READY-MIXED PAINT </v>
          </cell>
          <cell r="AJ24" t="str">
            <v>0153</v>
          </cell>
          <cell r="AK24" t="str">
            <v>508</v>
          </cell>
          <cell r="AM24">
            <v>1</v>
          </cell>
          <cell r="AN24">
            <v>11.8</v>
          </cell>
          <cell r="AO24">
            <v>9.4</v>
          </cell>
          <cell r="AQ24">
            <v>36.44</v>
          </cell>
          <cell r="AR24">
            <v>37.229999999999997</v>
          </cell>
          <cell r="AT24">
            <v>430</v>
          </cell>
          <cell r="AU24">
            <v>350</v>
          </cell>
        </row>
        <row r="25">
          <cell r="AH25" t="str">
            <v>AE</v>
          </cell>
          <cell r="AI25" t="str">
            <v xml:space="preserve">ALKYD ENAMEL </v>
          </cell>
          <cell r="AJ25" t="str">
            <v>0162</v>
          </cell>
          <cell r="AK25" t="str">
            <v>502</v>
          </cell>
          <cell r="AL25" t="str">
            <v>110</v>
          </cell>
          <cell r="AM25">
            <v>1</v>
          </cell>
          <cell r="AN25">
            <v>11.9</v>
          </cell>
          <cell r="AO25">
            <v>12.4</v>
          </cell>
          <cell r="AP25">
            <v>12</v>
          </cell>
          <cell r="AQ25">
            <v>35.29</v>
          </cell>
          <cell r="AR25">
            <v>37.1</v>
          </cell>
          <cell r="AS25">
            <v>37.92</v>
          </cell>
          <cell r="AT25">
            <v>420</v>
          </cell>
          <cell r="AU25">
            <v>460</v>
          </cell>
          <cell r="AV25">
            <v>455</v>
          </cell>
        </row>
        <row r="26">
          <cell r="AH26" t="str">
            <v>AP</v>
          </cell>
          <cell r="AI26" t="str">
            <v>ALUMIN PAINT</v>
          </cell>
          <cell r="AJ26" t="str">
            <v>0152</v>
          </cell>
          <cell r="AK26" t="str">
            <v>103</v>
          </cell>
          <cell r="AL26" t="str">
            <v>310</v>
          </cell>
          <cell r="AM26">
            <v>1</v>
          </cell>
          <cell r="AN26">
            <v>10.9</v>
          </cell>
          <cell r="AO26">
            <v>13.5</v>
          </cell>
          <cell r="AP26">
            <v>13.5</v>
          </cell>
          <cell r="AQ26">
            <v>36.700000000000003</v>
          </cell>
          <cell r="AR26">
            <v>34.07</v>
          </cell>
          <cell r="AS26">
            <v>32.44</v>
          </cell>
          <cell r="AT26">
            <v>400</v>
          </cell>
          <cell r="AU26">
            <v>460</v>
          </cell>
          <cell r="AV26">
            <v>438</v>
          </cell>
        </row>
        <row r="27">
          <cell r="AH27" t="str">
            <v>AMF</v>
          </cell>
          <cell r="AI27" t="str">
            <v>PHEN0LIC-MODIFIED ALKYD M.I.O.FINISH</v>
          </cell>
          <cell r="AJ27" t="str">
            <v>4690(Ar-900)</v>
          </cell>
          <cell r="AL27" t="str">
            <v>800</v>
          </cell>
          <cell r="AM27">
            <v>1</v>
          </cell>
          <cell r="AN27">
            <v>19.16</v>
          </cell>
          <cell r="AP27">
            <v>17.8</v>
          </cell>
          <cell r="AQ27">
            <v>26.1</v>
          </cell>
          <cell r="AS27">
            <v>37.869999999999997</v>
          </cell>
          <cell r="AT27">
            <v>500</v>
          </cell>
          <cell r="AV27">
            <v>674</v>
          </cell>
        </row>
        <row r="28">
          <cell r="AH28" t="str">
            <v>GP</v>
          </cell>
          <cell r="AI28" t="str">
            <v xml:space="preserve">GALVAN. STEEL SHEET EHULSION PAINT </v>
          </cell>
          <cell r="AK28" t="str">
            <v>100(OM-12)</v>
          </cell>
          <cell r="AM28">
            <v>1</v>
          </cell>
          <cell r="AO28">
            <v>14.3</v>
          </cell>
          <cell r="AR28">
            <v>47.55</v>
          </cell>
          <cell r="AU28">
            <v>680</v>
          </cell>
        </row>
        <row r="29">
          <cell r="AI29" t="str">
            <v xml:space="preserve">EPOXY RESIN </v>
          </cell>
        </row>
        <row r="30">
          <cell r="AH30" t="str">
            <v>ERLP</v>
          </cell>
          <cell r="AI30" t="str">
            <v xml:space="preserve">EPOXY RED LEAD PRIMER </v>
          </cell>
          <cell r="AJ30" t="str">
            <v>0401</v>
          </cell>
          <cell r="AK30" t="str">
            <v>1007(EP-01)</v>
          </cell>
          <cell r="AM30">
            <v>1</v>
          </cell>
          <cell r="AN30">
            <v>13.7</v>
          </cell>
          <cell r="AO30">
            <v>11.9</v>
          </cell>
          <cell r="AQ30">
            <v>41.61</v>
          </cell>
          <cell r="AR30">
            <v>47.9</v>
          </cell>
          <cell r="AT30">
            <v>570</v>
          </cell>
          <cell r="AU30">
            <v>570</v>
          </cell>
        </row>
        <row r="31">
          <cell r="AH31" t="str">
            <v>EZCP</v>
          </cell>
          <cell r="AI31" t="str">
            <v xml:space="preserve">EPOXY ZINC CHROMATE PRIMER </v>
          </cell>
          <cell r="AJ31" t="str">
            <v>0411</v>
          </cell>
          <cell r="AK31" t="str">
            <v>1008(EP-09)</v>
          </cell>
          <cell r="AL31" t="str">
            <v>56</v>
          </cell>
          <cell r="AM31">
            <v>1</v>
          </cell>
          <cell r="AN31">
            <v>13.7</v>
          </cell>
          <cell r="AO31">
            <v>13.2</v>
          </cell>
          <cell r="AP31">
            <v>15.7</v>
          </cell>
          <cell r="AQ31">
            <v>41.61</v>
          </cell>
          <cell r="AR31">
            <v>43.18</v>
          </cell>
          <cell r="AS31">
            <v>57.32</v>
          </cell>
          <cell r="AT31">
            <v>570</v>
          </cell>
          <cell r="AU31">
            <v>570</v>
          </cell>
          <cell r="AV31">
            <v>900</v>
          </cell>
        </row>
        <row r="32">
          <cell r="AH32" t="str">
            <v>EZRP</v>
          </cell>
          <cell r="AI32" t="str">
            <v xml:space="preserve">EPOXY ZINC RICH PRIMER </v>
          </cell>
          <cell r="AJ32" t="str">
            <v>0416</v>
          </cell>
          <cell r="AK32" t="str">
            <v>1006(EP-03)</v>
          </cell>
          <cell r="AL32" t="str">
            <v>63</v>
          </cell>
          <cell r="AM32">
            <v>1</v>
          </cell>
          <cell r="AN32">
            <v>24.9</v>
          </cell>
          <cell r="AO32">
            <v>18.899999999999999</v>
          </cell>
          <cell r="AP32">
            <v>44.29</v>
          </cell>
          <cell r="AQ32">
            <v>44.18</v>
          </cell>
          <cell r="AR32">
            <v>52.91</v>
          </cell>
          <cell r="AS32">
            <v>29.35</v>
          </cell>
          <cell r="AT32">
            <v>1100</v>
          </cell>
          <cell r="AU32">
            <v>1000</v>
          </cell>
          <cell r="AV32">
            <v>1300</v>
          </cell>
        </row>
        <row r="33">
          <cell r="AH33" t="str">
            <v>EROP</v>
          </cell>
          <cell r="AI33" t="str">
            <v xml:space="preserve">EPOXY RED OXIDE PRIMER </v>
          </cell>
          <cell r="AJ33" t="str">
            <v>0421(Z-500)</v>
          </cell>
          <cell r="AK33" t="str">
            <v>1009(EP-02)</v>
          </cell>
          <cell r="AL33" t="str">
            <v>87</v>
          </cell>
          <cell r="AM33">
            <v>1</v>
          </cell>
          <cell r="AN33">
            <v>11.3</v>
          </cell>
          <cell r="AO33">
            <v>10.9</v>
          </cell>
          <cell r="AP33">
            <v>28.1</v>
          </cell>
          <cell r="AQ33">
            <v>41.59</v>
          </cell>
          <cell r="AR33">
            <v>43.12</v>
          </cell>
          <cell r="AS33">
            <v>39.15</v>
          </cell>
          <cell r="AT33">
            <v>470</v>
          </cell>
          <cell r="AU33">
            <v>470</v>
          </cell>
          <cell r="AV33">
            <v>1100</v>
          </cell>
        </row>
        <row r="34">
          <cell r="AH34" t="str">
            <v>EV</v>
          </cell>
          <cell r="AI34" t="str">
            <v xml:space="preserve">EPOXY VARNISH </v>
          </cell>
          <cell r="AJ34" t="str">
            <v>0450</v>
          </cell>
          <cell r="AK34" t="str">
            <v>1010</v>
          </cell>
          <cell r="AL34" t="str">
            <v>46</v>
          </cell>
          <cell r="AM34">
            <v>1</v>
          </cell>
          <cell r="AN34">
            <v>19</v>
          </cell>
          <cell r="AO34">
            <v>19.399999999999999</v>
          </cell>
          <cell r="AP34">
            <v>21.1</v>
          </cell>
          <cell r="AQ34">
            <v>28.95</v>
          </cell>
          <cell r="AR34">
            <v>28.35</v>
          </cell>
          <cell r="AS34">
            <v>26.07</v>
          </cell>
          <cell r="AT34">
            <v>550</v>
          </cell>
          <cell r="AU34">
            <v>550</v>
          </cell>
          <cell r="AV34">
            <v>550</v>
          </cell>
        </row>
        <row r="35">
          <cell r="AH35" t="str">
            <v>EFC</v>
          </cell>
          <cell r="AI35" t="str">
            <v xml:space="preserve">EPOXY FINISH COATING </v>
          </cell>
          <cell r="AJ35" t="str">
            <v>0451</v>
          </cell>
          <cell r="AK35" t="str">
            <v>1001(EP-04)</v>
          </cell>
          <cell r="AL35" t="str">
            <v>86</v>
          </cell>
          <cell r="AM35">
            <v>1</v>
          </cell>
          <cell r="AN35">
            <v>16.8</v>
          </cell>
          <cell r="AO35">
            <v>18.3</v>
          </cell>
          <cell r="AP35">
            <v>34.9</v>
          </cell>
          <cell r="AQ35">
            <v>41.67</v>
          </cell>
          <cell r="AR35">
            <v>38.25</v>
          </cell>
          <cell r="AS35">
            <v>22.92</v>
          </cell>
          <cell r="AT35">
            <v>700</v>
          </cell>
          <cell r="AU35">
            <v>700</v>
          </cell>
          <cell r="AV35">
            <v>800</v>
          </cell>
        </row>
        <row r="36">
          <cell r="AH36" t="str">
            <v>CTE</v>
          </cell>
          <cell r="AI36" t="str">
            <v xml:space="preserve">COAL TAR EPOXY HB </v>
          </cell>
          <cell r="AJ36" t="str">
            <v>0459</v>
          </cell>
          <cell r="AK36" t="str">
            <v>1004(EP-06)</v>
          </cell>
          <cell r="AL36" t="str">
            <v>58</v>
          </cell>
          <cell r="AM36">
            <v>1</v>
          </cell>
          <cell r="AN36">
            <v>7.9</v>
          </cell>
          <cell r="AO36">
            <v>7.6</v>
          </cell>
          <cell r="AQ36">
            <v>50.63</v>
          </cell>
          <cell r="AR36">
            <v>52.63</v>
          </cell>
          <cell r="AT36">
            <v>400</v>
          </cell>
          <cell r="AU36">
            <v>400</v>
          </cell>
          <cell r="AV36">
            <v>700</v>
          </cell>
        </row>
        <row r="37">
          <cell r="AH37" t="str">
            <v>IZRP</v>
          </cell>
          <cell r="AI37" t="str">
            <v xml:space="preserve">INORGANIC ZINC RICH PRIMER </v>
          </cell>
          <cell r="AJ37" t="str">
            <v>4120(Z-120HB)</v>
          </cell>
          <cell r="AK37" t="str">
            <v>1011(IZ-01)</v>
          </cell>
          <cell r="AL37" t="str">
            <v>33</v>
          </cell>
          <cell r="AM37">
            <v>1</v>
          </cell>
          <cell r="AN37">
            <v>19.399999999999999</v>
          </cell>
          <cell r="AO37">
            <v>15.6</v>
          </cell>
          <cell r="AP37">
            <v>30.3</v>
          </cell>
          <cell r="AQ37">
            <v>56.7</v>
          </cell>
          <cell r="AR37">
            <v>64.099999999999994</v>
          </cell>
          <cell r="AS37">
            <v>42.9</v>
          </cell>
          <cell r="AT37">
            <v>1100</v>
          </cell>
          <cell r="AU37">
            <v>1000</v>
          </cell>
          <cell r="AV37">
            <v>1300</v>
          </cell>
        </row>
        <row r="38">
          <cell r="AH38" t="str">
            <v>EATP</v>
          </cell>
          <cell r="AI38" t="str">
            <v>EPOXY ALUMINUM TRIPOLYPHOSPHATE PRIMER</v>
          </cell>
          <cell r="AJ38" t="str">
            <v>A-536</v>
          </cell>
          <cell r="AK38" t="str">
            <v>1075</v>
          </cell>
          <cell r="AL38" t="str">
            <v>57</v>
          </cell>
          <cell r="AM38">
            <v>1</v>
          </cell>
          <cell r="AN38">
            <v>18.7</v>
          </cell>
          <cell r="AO38">
            <v>14.7</v>
          </cell>
          <cell r="AP38">
            <v>15.5</v>
          </cell>
          <cell r="AQ38">
            <v>42.78</v>
          </cell>
          <cell r="AR38">
            <v>42.86</v>
          </cell>
          <cell r="AS38">
            <v>39.03</v>
          </cell>
          <cell r="AT38">
            <v>800</v>
          </cell>
          <cell r="AU38">
            <v>630</v>
          </cell>
          <cell r="AV38">
            <v>605</v>
          </cell>
        </row>
        <row r="39">
          <cell r="AH39" t="str">
            <v>EBZRP</v>
          </cell>
          <cell r="AI39" t="str">
            <v xml:space="preserve">EPOXY CURED BASED ZINC RICH PRIMER </v>
          </cell>
          <cell r="AJ39" t="str">
            <v>4180(Z-800)</v>
          </cell>
          <cell r="AK39" t="str">
            <v>1002</v>
          </cell>
          <cell r="AM39">
            <v>1</v>
          </cell>
          <cell r="AN39">
            <v>27.3</v>
          </cell>
          <cell r="AO39">
            <v>15.7</v>
          </cell>
          <cell r="AQ39">
            <v>40.29</v>
          </cell>
          <cell r="AR39">
            <v>38.22</v>
          </cell>
          <cell r="AT39">
            <v>1100</v>
          </cell>
          <cell r="AU39">
            <v>600</v>
          </cell>
        </row>
        <row r="40">
          <cell r="AH40" t="str">
            <v>HBEP</v>
          </cell>
          <cell r="AI40" t="str">
            <v>HIGH BUILD EPOXY POLYAMINE CURED</v>
          </cell>
          <cell r="AJ40" t="str">
            <v>4418(A-418)</v>
          </cell>
          <cell r="AK40" t="str">
            <v>1015</v>
          </cell>
          <cell r="AM40">
            <v>1</v>
          </cell>
          <cell r="AN40">
            <v>18.3</v>
          </cell>
          <cell r="AO40">
            <v>13.1</v>
          </cell>
          <cell r="AQ40">
            <v>65.569999999999993</v>
          </cell>
          <cell r="AR40">
            <v>83.97</v>
          </cell>
          <cell r="AT40">
            <v>1200</v>
          </cell>
          <cell r="AU40">
            <v>1100</v>
          </cell>
        </row>
        <row r="41">
          <cell r="AH41" t="str">
            <v>HSCP</v>
          </cell>
          <cell r="AI41" t="str">
            <v>HIGH SOILD EPOXY POLYAMINE CURED PRIMER</v>
          </cell>
          <cell r="AJ41" t="str">
            <v>4418(A-448)</v>
          </cell>
          <cell r="AK41">
            <v>1017</v>
          </cell>
          <cell r="AM41">
            <v>1</v>
          </cell>
          <cell r="AN41">
            <v>20.309999999999999</v>
          </cell>
          <cell r="AO41">
            <v>13.1</v>
          </cell>
          <cell r="AQ41">
            <v>64</v>
          </cell>
          <cell r="AR41">
            <v>83.97</v>
          </cell>
          <cell r="AT41">
            <v>1300</v>
          </cell>
          <cell r="AU41">
            <v>1100</v>
          </cell>
        </row>
        <row r="42">
          <cell r="AH42" t="str">
            <v>EEA</v>
          </cell>
          <cell r="AI42" t="str">
            <v>EPOXY ENAMEL AMINE ADDUCT CURED</v>
          </cell>
          <cell r="AJ42" t="str">
            <v>4450(A-500)</v>
          </cell>
          <cell r="AK42" t="str">
            <v>1014</v>
          </cell>
          <cell r="AM42">
            <v>1</v>
          </cell>
          <cell r="AN42">
            <v>23.8</v>
          </cell>
          <cell r="AO42">
            <v>11.4</v>
          </cell>
          <cell r="AQ42">
            <v>37.82</v>
          </cell>
          <cell r="AR42">
            <v>83.33</v>
          </cell>
          <cell r="AT42">
            <v>900</v>
          </cell>
          <cell r="AU42">
            <v>950</v>
          </cell>
        </row>
        <row r="43">
          <cell r="AH43" t="str">
            <v>NEP</v>
          </cell>
          <cell r="AI43" t="str">
            <v>NON-REACTIVE EPOXY PRIMER</v>
          </cell>
          <cell r="AJ43" t="str">
            <v>4405(A-505)</v>
          </cell>
          <cell r="AM43">
            <v>1</v>
          </cell>
          <cell r="AN43">
            <v>19.2</v>
          </cell>
          <cell r="AQ43">
            <v>41.67</v>
          </cell>
          <cell r="AT43">
            <v>800</v>
          </cell>
        </row>
        <row r="44">
          <cell r="AH44" t="str">
            <v>ZCOP</v>
          </cell>
          <cell r="AI44" t="str">
            <v xml:space="preserve">ZINC CHROMATE-RED OXIDE/EPOXY PRIMER </v>
          </cell>
          <cell r="AJ44" t="str">
            <v>4451(A-510)</v>
          </cell>
          <cell r="AK44" t="str">
            <v>1016</v>
          </cell>
          <cell r="AM44">
            <v>1</v>
          </cell>
          <cell r="AN44">
            <v>18.2</v>
          </cell>
          <cell r="AO44">
            <v>8.1999999999999993</v>
          </cell>
          <cell r="AQ44">
            <v>42.86</v>
          </cell>
          <cell r="AR44">
            <v>85.37</v>
          </cell>
          <cell r="AT44">
            <v>780</v>
          </cell>
          <cell r="AU44">
            <v>700</v>
          </cell>
        </row>
        <row r="45">
          <cell r="AH45" t="str">
            <v>EPC</v>
          </cell>
          <cell r="AI45" t="str">
            <v xml:space="preserve">EPOXY ENAMEL/POLYAMIDE CURED </v>
          </cell>
          <cell r="AJ45" t="str">
            <v>4415(A-515)</v>
          </cell>
          <cell r="AM45">
            <v>1</v>
          </cell>
          <cell r="AN45">
            <v>19.8</v>
          </cell>
          <cell r="AQ45">
            <v>42.93</v>
          </cell>
          <cell r="AT45">
            <v>850</v>
          </cell>
        </row>
        <row r="46">
          <cell r="AI46" t="str">
            <v>EPOXY NON-SKID SURFACING</v>
          </cell>
          <cell r="AJ46" t="str">
            <v>4425(A-525)</v>
          </cell>
          <cell r="AK46" t="str">
            <v>1018</v>
          </cell>
          <cell r="AM46">
            <v>1</v>
          </cell>
          <cell r="AN46">
            <v>18</v>
          </cell>
          <cell r="AO46">
            <v>31.3</v>
          </cell>
          <cell r="AQ46">
            <v>37.78</v>
          </cell>
          <cell r="AR46">
            <v>47.92</v>
          </cell>
          <cell r="AT46">
            <v>680</v>
          </cell>
          <cell r="AU46">
            <v>1500</v>
          </cell>
        </row>
        <row r="47">
          <cell r="AH47" t="str">
            <v>EPAP</v>
          </cell>
          <cell r="AI47" t="str">
            <v>EPOXY-POLYAMIDE,ALLOY PRIMER.</v>
          </cell>
          <cell r="AJ47" t="str">
            <v>4465(A-650)</v>
          </cell>
          <cell r="AK47">
            <v>1020</v>
          </cell>
          <cell r="AM47">
            <v>1</v>
          </cell>
          <cell r="AN47">
            <v>21</v>
          </cell>
          <cell r="AO47">
            <v>26.92</v>
          </cell>
          <cell r="AQ47">
            <v>42.86</v>
          </cell>
          <cell r="AR47">
            <v>13</v>
          </cell>
          <cell r="AT47">
            <v>900</v>
          </cell>
          <cell r="AU47">
            <v>350</v>
          </cell>
        </row>
        <row r="48">
          <cell r="AI48" t="str">
            <v>LEAD SILICO CHROMATE EP.PRI./POLYAMIDE CURED</v>
          </cell>
          <cell r="AJ48" t="str">
            <v>4430(A-530)</v>
          </cell>
          <cell r="AM48">
            <v>1</v>
          </cell>
          <cell r="AN48">
            <v>21.97</v>
          </cell>
          <cell r="AQ48">
            <v>37.78</v>
          </cell>
          <cell r="AT48">
            <v>830</v>
          </cell>
        </row>
        <row r="49">
          <cell r="AH49" t="str">
            <v>ERLP</v>
          </cell>
          <cell r="AI49" t="str">
            <v>EPOXY RED LEAD POLYAMIDE CURED PRIMER</v>
          </cell>
          <cell r="AJ49" t="str">
            <v>4440(A-540)</v>
          </cell>
          <cell r="AK49" t="str">
            <v>1051</v>
          </cell>
          <cell r="AM49">
            <v>1</v>
          </cell>
          <cell r="AN49">
            <v>19.399999999999999</v>
          </cell>
          <cell r="AO49">
            <v>15.8</v>
          </cell>
          <cell r="AQ49">
            <v>42.78</v>
          </cell>
          <cell r="AR49">
            <v>43.04</v>
          </cell>
          <cell r="AT49">
            <v>830</v>
          </cell>
          <cell r="AU49">
            <v>680</v>
          </cell>
        </row>
        <row r="50">
          <cell r="AH50" t="str">
            <v>EROP</v>
          </cell>
          <cell r="AI50" t="str">
            <v>RED LEAD-RED OXIDE EP./POLYAMIDE CURED PRI.</v>
          </cell>
          <cell r="AJ50" t="str">
            <v>4445(A-545)</v>
          </cell>
          <cell r="AK50" t="str">
            <v>1060</v>
          </cell>
          <cell r="AM50">
            <v>1</v>
          </cell>
          <cell r="AN50">
            <v>18.7</v>
          </cell>
          <cell r="AO50">
            <v>20.9</v>
          </cell>
          <cell r="AQ50">
            <v>42.78</v>
          </cell>
          <cell r="AR50">
            <v>28.71</v>
          </cell>
          <cell r="AT50">
            <v>800</v>
          </cell>
          <cell r="AU50">
            <v>600</v>
          </cell>
        </row>
        <row r="51">
          <cell r="AH51" t="str">
            <v>ETC</v>
          </cell>
          <cell r="AI51" t="str">
            <v>TAR EPOXY COATING/AMINE CURED</v>
          </cell>
          <cell r="AJ51" t="str">
            <v>4460(A-560)</v>
          </cell>
          <cell r="AK51" t="str">
            <v>1070(EP-10)</v>
          </cell>
          <cell r="AM51">
            <v>1</v>
          </cell>
          <cell r="AN51">
            <v>11.69</v>
          </cell>
          <cell r="AO51">
            <v>12.2</v>
          </cell>
          <cell r="AQ51">
            <v>42.78</v>
          </cell>
          <cell r="AR51">
            <v>57.38</v>
          </cell>
          <cell r="AT51">
            <v>500</v>
          </cell>
          <cell r="AU51">
            <v>700</v>
          </cell>
        </row>
        <row r="52">
          <cell r="AH52" t="str">
            <v>EWB</v>
          </cell>
          <cell r="AI52" t="str">
            <v>WATER BASE EPOXY ENAMEL/POLTAMINE CURED</v>
          </cell>
          <cell r="AJ52" t="str">
            <v>4458(A-580)</v>
          </cell>
          <cell r="AK52" t="str">
            <v>1017(EP-07)</v>
          </cell>
          <cell r="AL52" t="str">
            <v>96</v>
          </cell>
          <cell r="AM52">
            <v>1</v>
          </cell>
          <cell r="AN52">
            <v>34.4</v>
          </cell>
          <cell r="AO52">
            <v>16</v>
          </cell>
          <cell r="AP52">
            <v>32.700000000000003</v>
          </cell>
          <cell r="AQ52">
            <v>37.79</v>
          </cell>
          <cell r="AR52">
            <v>43.75</v>
          </cell>
          <cell r="AS52">
            <v>45.87</v>
          </cell>
          <cell r="AT52">
            <v>1300</v>
          </cell>
          <cell r="AU52">
            <v>700</v>
          </cell>
          <cell r="AV52">
            <v>1500</v>
          </cell>
        </row>
        <row r="53">
          <cell r="AH53" t="str">
            <v>CCTE</v>
          </cell>
          <cell r="AI53" t="str">
            <v>CATALYZED COAL TAR EPOXY POLYAMINE CURED</v>
          </cell>
          <cell r="AJ53" t="str">
            <v>4459(A-590)</v>
          </cell>
          <cell r="AK53" t="str">
            <v>SP-06</v>
          </cell>
          <cell r="AM53">
            <v>1</v>
          </cell>
          <cell r="AN53">
            <v>12.6</v>
          </cell>
          <cell r="AO53">
            <v>32.1</v>
          </cell>
          <cell r="AQ53">
            <v>55.56</v>
          </cell>
          <cell r="AR53">
            <v>42.37</v>
          </cell>
          <cell r="AT53">
            <v>700</v>
          </cell>
          <cell r="AU53">
            <v>1360</v>
          </cell>
        </row>
        <row r="54">
          <cell r="AH54" t="str">
            <v>EPF</v>
          </cell>
          <cell r="AI54" t="str">
            <v>EPOXY-POLYAMINE,FINISH</v>
          </cell>
          <cell r="AJ54" t="str">
            <v>4465(A-650)</v>
          </cell>
          <cell r="AK54" t="str">
            <v>SP-08</v>
          </cell>
          <cell r="AM54">
            <v>1</v>
          </cell>
          <cell r="AN54">
            <v>21</v>
          </cell>
          <cell r="AO54">
            <v>24.4</v>
          </cell>
          <cell r="AQ54">
            <v>42.86</v>
          </cell>
          <cell r="AR54">
            <v>25</v>
          </cell>
          <cell r="AT54">
            <v>900</v>
          </cell>
          <cell r="AU54">
            <v>610</v>
          </cell>
        </row>
        <row r="55">
          <cell r="AH55" t="str">
            <v>EPRLP</v>
          </cell>
          <cell r="AI55" t="str">
            <v>EPOXY/POLYAMINE,RED LEAD PRIMER</v>
          </cell>
          <cell r="AJ55" t="str">
            <v>4570(A-700)</v>
          </cell>
          <cell r="AK55" t="str">
            <v>SP-09</v>
          </cell>
          <cell r="AM55">
            <v>1</v>
          </cell>
          <cell r="AN55">
            <v>21</v>
          </cell>
          <cell r="AO55">
            <v>32</v>
          </cell>
          <cell r="AQ55">
            <v>42.86</v>
          </cell>
          <cell r="AR55">
            <v>23.75</v>
          </cell>
          <cell r="AT55">
            <v>900</v>
          </cell>
          <cell r="AU55">
            <v>760</v>
          </cell>
        </row>
        <row r="56">
          <cell r="AH56" t="str">
            <v>EMOP</v>
          </cell>
          <cell r="AI56" t="str">
            <v xml:space="preserve">EPOXY MIO PRIMER </v>
          </cell>
          <cell r="AJ56" t="str">
            <v>4691(Ar-910)</v>
          </cell>
          <cell r="AK56" t="str">
            <v>1050(EP-20)</v>
          </cell>
          <cell r="AL56" t="str">
            <v>76</v>
          </cell>
          <cell r="AM56">
            <v>1</v>
          </cell>
          <cell r="AN56">
            <v>17.3</v>
          </cell>
          <cell r="AO56">
            <v>9.2799999999999994</v>
          </cell>
          <cell r="AP56">
            <v>30.9</v>
          </cell>
          <cell r="AQ56">
            <v>43.35</v>
          </cell>
          <cell r="AR56">
            <v>31.25</v>
          </cell>
          <cell r="AS56">
            <v>25.89</v>
          </cell>
          <cell r="AT56">
            <v>750</v>
          </cell>
          <cell r="AU56">
            <v>290</v>
          </cell>
          <cell r="AV56">
            <v>800</v>
          </cell>
        </row>
        <row r="57">
          <cell r="AH57" t="str">
            <v>EPCP</v>
          </cell>
          <cell r="AI57" t="str">
            <v>EPOXY-PHENOLIC CURED PRIMER .</v>
          </cell>
          <cell r="AJ57" t="str">
            <v>4691(Ar-910)</v>
          </cell>
          <cell r="AK57" t="str">
            <v>1060</v>
          </cell>
          <cell r="AL57" t="str">
            <v>76</v>
          </cell>
          <cell r="AM57">
            <v>1</v>
          </cell>
          <cell r="AN57">
            <v>17.3</v>
          </cell>
          <cell r="AO57">
            <v>19.2</v>
          </cell>
          <cell r="AP57">
            <v>30.9</v>
          </cell>
          <cell r="AQ57">
            <v>43.35</v>
          </cell>
          <cell r="AR57">
            <v>31.25</v>
          </cell>
          <cell r="AS57">
            <v>25.89</v>
          </cell>
          <cell r="AT57">
            <v>750</v>
          </cell>
          <cell r="AU57">
            <v>600</v>
          </cell>
          <cell r="AV57">
            <v>800</v>
          </cell>
        </row>
        <row r="59">
          <cell r="AI59" t="str">
            <v xml:space="preserve">CHLORINATED RUBBER RESIN </v>
          </cell>
        </row>
        <row r="60">
          <cell r="AH60" t="str">
            <v>CRRLP</v>
          </cell>
          <cell r="AI60" t="str">
            <v xml:space="preserve">CALORINATED RUBBER RED LEAD PRIMER </v>
          </cell>
          <cell r="AJ60" t="str">
            <v>0201</v>
          </cell>
          <cell r="AK60" t="str">
            <v>1402(RF-63)</v>
          </cell>
          <cell r="AL60" t="str">
            <v>530</v>
          </cell>
          <cell r="AM60">
            <v>1</v>
          </cell>
          <cell r="AN60">
            <v>14.7</v>
          </cell>
          <cell r="AO60">
            <v>12.9</v>
          </cell>
          <cell r="AP60">
            <v>15.5</v>
          </cell>
          <cell r="AQ60">
            <v>32.65</v>
          </cell>
          <cell r="AR60">
            <v>37.979999999999997</v>
          </cell>
          <cell r="AS60">
            <v>36.450000000000003</v>
          </cell>
          <cell r="AT60">
            <v>480</v>
          </cell>
          <cell r="AU60">
            <v>490</v>
          </cell>
          <cell r="AV60">
            <v>565</v>
          </cell>
        </row>
        <row r="61">
          <cell r="AH61" t="str">
            <v>CRZCP</v>
          </cell>
          <cell r="AI61" t="str">
            <v>CHLORINATED RUBBER PRIMER ZINC CHROMATE PR.</v>
          </cell>
          <cell r="AJ61" t="str">
            <v>0211</v>
          </cell>
          <cell r="AK61" t="str">
            <v>1450(RF-67)</v>
          </cell>
          <cell r="AL61" t="str">
            <v>540</v>
          </cell>
          <cell r="AM61">
            <v>1</v>
          </cell>
          <cell r="AN61">
            <v>15.5</v>
          </cell>
          <cell r="AO61">
            <v>11.3</v>
          </cell>
          <cell r="AP61">
            <v>14.1</v>
          </cell>
          <cell r="AQ61">
            <v>30.97</v>
          </cell>
          <cell r="AR61">
            <v>42.48</v>
          </cell>
          <cell r="AS61">
            <v>36.450000000000003</v>
          </cell>
          <cell r="AT61">
            <v>480</v>
          </cell>
          <cell r="AU61">
            <v>480</v>
          </cell>
          <cell r="AV61">
            <v>514</v>
          </cell>
        </row>
        <row r="62">
          <cell r="AH62" t="str">
            <v>CRROP</v>
          </cell>
          <cell r="AI62" t="str">
            <v xml:space="preserve">CHLORINATED RUBBER RED OXIDE PRIMER </v>
          </cell>
          <cell r="AJ62" t="str">
            <v>0221</v>
          </cell>
          <cell r="AK62" t="str">
            <v>1403(RF-65)</v>
          </cell>
          <cell r="AL62" t="str">
            <v>510</v>
          </cell>
          <cell r="AM62">
            <v>1</v>
          </cell>
          <cell r="AN62">
            <v>14.6</v>
          </cell>
          <cell r="AO62">
            <v>12.1</v>
          </cell>
          <cell r="AP62">
            <v>31</v>
          </cell>
          <cell r="AQ62">
            <v>30.82</v>
          </cell>
          <cell r="AR62">
            <v>38.020000000000003</v>
          </cell>
          <cell r="AS62">
            <v>38.549999999999997</v>
          </cell>
          <cell r="AT62">
            <v>450</v>
          </cell>
          <cell r="AU62">
            <v>460</v>
          </cell>
          <cell r="AV62">
            <v>1195</v>
          </cell>
        </row>
        <row r="63">
          <cell r="AH63" t="str">
            <v>CRF</v>
          </cell>
          <cell r="AI63" t="str">
            <v xml:space="preserve">CHLORINATED RUBBER FINISH </v>
          </cell>
          <cell r="AJ63" t="str">
            <v>0251</v>
          </cell>
          <cell r="AK63" t="str">
            <v>1401</v>
          </cell>
          <cell r="AL63" t="str">
            <v>520</v>
          </cell>
          <cell r="AM63">
            <v>1</v>
          </cell>
          <cell r="AN63">
            <v>18.899999999999999</v>
          </cell>
          <cell r="AO63">
            <v>15.8</v>
          </cell>
          <cell r="AP63">
            <v>16.7</v>
          </cell>
          <cell r="AQ63">
            <v>31.75</v>
          </cell>
          <cell r="AR63">
            <v>34.18</v>
          </cell>
          <cell r="AS63">
            <v>33.83</v>
          </cell>
          <cell r="AT63">
            <v>600</v>
          </cell>
          <cell r="AU63">
            <v>540</v>
          </cell>
          <cell r="AV63">
            <v>565</v>
          </cell>
        </row>
        <row r="64">
          <cell r="AH64" t="str">
            <v>CRATP</v>
          </cell>
          <cell r="AI64" t="str">
            <v>C RUBBER ALUMINUM TRIPOLYPHOSPHATE PRIMER</v>
          </cell>
          <cell r="AJ64" t="str">
            <v>0203</v>
          </cell>
          <cell r="AL64" t="str">
            <v>531</v>
          </cell>
          <cell r="AM64">
            <v>1</v>
          </cell>
          <cell r="AN64">
            <v>13.4</v>
          </cell>
          <cell r="AP64">
            <v>14.5</v>
          </cell>
          <cell r="AQ64">
            <v>37.31</v>
          </cell>
          <cell r="AS64">
            <v>36.409999999999997</v>
          </cell>
          <cell r="AT64">
            <v>500</v>
          </cell>
          <cell r="AV64">
            <v>528</v>
          </cell>
        </row>
        <row r="65">
          <cell r="AH65" t="str">
            <v>PCRF</v>
          </cell>
          <cell r="AI65" t="str">
            <v>PIGMENTED CHLORINATED RUBBER FINISH</v>
          </cell>
          <cell r="AJ65" t="str">
            <v>4470(C-700)</v>
          </cell>
          <cell r="AK65" t="str">
            <v>RF-51~56</v>
          </cell>
          <cell r="AL65" t="str">
            <v>560</v>
          </cell>
          <cell r="AM65">
            <v>1</v>
          </cell>
          <cell r="AN65">
            <v>27.1</v>
          </cell>
          <cell r="AO65">
            <v>12.3</v>
          </cell>
          <cell r="AP65">
            <v>13.5</v>
          </cell>
          <cell r="AQ65">
            <v>33.21</v>
          </cell>
          <cell r="AR65">
            <v>38.21</v>
          </cell>
          <cell r="AS65">
            <v>33.78</v>
          </cell>
          <cell r="AT65">
            <v>900</v>
          </cell>
          <cell r="AU65">
            <v>470</v>
          </cell>
          <cell r="AV65">
            <v>456</v>
          </cell>
        </row>
        <row r="66">
          <cell r="AH66" t="str">
            <v>CRRLP</v>
          </cell>
          <cell r="AI66" t="str">
            <v xml:space="preserve">CHLORINATED RUBBER RED LEAD PRIMER </v>
          </cell>
          <cell r="AJ66" t="str">
            <v>4575(C-750)</v>
          </cell>
          <cell r="AL66" t="str">
            <v>500</v>
          </cell>
          <cell r="AM66">
            <v>1</v>
          </cell>
          <cell r="AN66">
            <v>17.2</v>
          </cell>
          <cell r="AP66">
            <v>15</v>
          </cell>
          <cell r="AQ66">
            <v>37.79</v>
          </cell>
          <cell r="AS66">
            <v>30.4</v>
          </cell>
          <cell r="AT66">
            <v>650</v>
          </cell>
          <cell r="AV66">
            <v>456</v>
          </cell>
        </row>
        <row r="67">
          <cell r="AH67" t="str">
            <v>CRROP</v>
          </cell>
          <cell r="AI67" t="str">
            <v xml:space="preserve">CHLORINATED RUBBER RED LEAD-RED OXIDE PRIMER </v>
          </cell>
          <cell r="AJ67" t="str">
            <v>4576(C-760)</v>
          </cell>
          <cell r="AL67" t="str">
            <v>550</v>
          </cell>
          <cell r="AM67">
            <v>1</v>
          </cell>
          <cell r="AN67">
            <v>15.9</v>
          </cell>
          <cell r="AP67">
            <v>14.8</v>
          </cell>
          <cell r="AQ67">
            <v>38.99</v>
          </cell>
          <cell r="AS67">
            <v>33.78</v>
          </cell>
          <cell r="AT67">
            <v>620</v>
          </cell>
          <cell r="AV67">
            <v>500</v>
          </cell>
        </row>
        <row r="68">
          <cell r="AI68" t="str">
            <v>CHLORINATED RUBBER BASE M.I.O.COATING</v>
          </cell>
          <cell r="AJ68" t="str">
            <v>4693(Ar-930)</v>
          </cell>
          <cell r="AK68" t="str">
            <v>1452(RF-68)</v>
          </cell>
          <cell r="AL68" t="str">
            <v>600</v>
          </cell>
          <cell r="AM68">
            <v>1</v>
          </cell>
          <cell r="AN68">
            <v>16.399999999999999</v>
          </cell>
          <cell r="AO68">
            <v>13.2</v>
          </cell>
          <cell r="AP68">
            <v>14.8</v>
          </cell>
          <cell r="AQ68">
            <v>37.799999999999997</v>
          </cell>
          <cell r="AR68">
            <v>37.880000000000003</v>
          </cell>
          <cell r="AS68">
            <v>33.72</v>
          </cell>
          <cell r="AT68">
            <v>620</v>
          </cell>
          <cell r="AU68">
            <v>500</v>
          </cell>
          <cell r="AV68">
            <v>499</v>
          </cell>
        </row>
        <row r="71">
          <cell r="AI71" t="str">
            <v xml:space="preserve">SILICONE RESIN </v>
          </cell>
        </row>
        <row r="72">
          <cell r="AH72" t="str">
            <v>HP200</v>
          </cell>
          <cell r="AI72" t="str">
            <v>HEAT-RESISTING PRIMER 200'C ,SILICONE SERIES.</v>
          </cell>
          <cell r="AJ72" t="str">
            <v>0631</v>
          </cell>
          <cell r="AK72" t="str">
            <v>1512</v>
          </cell>
          <cell r="AM72">
            <v>1</v>
          </cell>
          <cell r="AN72">
            <v>16.5</v>
          </cell>
          <cell r="AO72">
            <v>26.2</v>
          </cell>
          <cell r="AQ72">
            <v>36.36</v>
          </cell>
          <cell r="AR72">
            <v>38.17</v>
          </cell>
          <cell r="AT72">
            <v>600</v>
          </cell>
          <cell r="AU72">
            <v>1000</v>
          </cell>
        </row>
        <row r="73">
          <cell r="AH73" t="str">
            <v>HP300</v>
          </cell>
          <cell r="AI73" t="str">
            <v xml:space="preserve">HEAT-RESISTING PRIMER 300'C </v>
          </cell>
          <cell r="AJ73" t="str">
            <v>0632</v>
          </cell>
          <cell r="AK73" t="str">
            <v>1507</v>
          </cell>
          <cell r="AL73" t="str">
            <v>330-1</v>
          </cell>
          <cell r="AM73">
            <v>1</v>
          </cell>
          <cell r="AN73">
            <v>20.7</v>
          </cell>
          <cell r="AO73">
            <v>20.399999999999999</v>
          </cell>
          <cell r="AP73">
            <v>29</v>
          </cell>
          <cell r="AQ73">
            <v>36.229999999999997</v>
          </cell>
          <cell r="AR73">
            <v>38.24</v>
          </cell>
          <cell r="AS73">
            <v>33.76</v>
          </cell>
          <cell r="AT73">
            <v>750</v>
          </cell>
          <cell r="AU73">
            <v>780</v>
          </cell>
          <cell r="AV73">
            <v>979</v>
          </cell>
        </row>
        <row r="74">
          <cell r="AH74" t="str">
            <v>HP500</v>
          </cell>
          <cell r="AI74" t="str">
            <v>HEAT-RESISTING PRIMER 500'C</v>
          </cell>
          <cell r="AJ74" t="str">
            <v>0634</v>
          </cell>
          <cell r="AK74" t="str">
            <v>1501</v>
          </cell>
          <cell r="AM74">
            <v>1</v>
          </cell>
          <cell r="AN74">
            <v>35.799999999999997</v>
          </cell>
          <cell r="AO74">
            <v>34.1</v>
          </cell>
          <cell r="AQ74">
            <v>36.31</v>
          </cell>
          <cell r="AR74">
            <v>38.119999999999997</v>
          </cell>
          <cell r="AT74">
            <v>1300</v>
          </cell>
          <cell r="AU74">
            <v>1300</v>
          </cell>
        </row>
        <row r="75">
          <cell r="AH75" t="str">
            <v>HP600</v>
          </cell>
          <cell r="AI75" t="str">
            <v>HEAT-RESISTING PRIMER 600'C</v>
          </cell>
          <cell r="AJ75" t="str">
            <v>0635</v>
          </cell>
          <cell r="AK75" t="str">
            <v>1500</v>
          </cell>
          <cell r="AL75" t="str">
            <v>320-1</v>
          </cell>
          <cell r="AM75">
            <v>1</v>
          </cell>
          <cell r="AN75">
            <v>44.09</v>
          </cell>
          <cell r="AO75">
            <v>34.1</v>
          </cell>
          <cell r="AP75">
            <v>44.4</v>
          </cell>
          <cell r="AQ75">
            <v>31.75</v>
          </cell>
          <cell r="AR75">
            <v>38.119999999999997</v>
          </cell>
          <cell r="AS75">
            <v>33.78</v>
          </cell>
          <cell r="AT75">
            <v>1400</v>
          </cell>
          <cell r="AU75">
            <v>1300</v>
          </cell>
          <cell r="AV75">
            <v>1500</v>
          </cell>
        </row>
        <row r="76">
          <cell r="AH76" t="str">
            <v>HF200</v>
          </cell>
          <cell r="AI76" t="str">
            <v>HEAT-RESISTING PAINT 200'C SILICONE SREIES.</v>
          </cell>
          <cell r="AJ76" t="str">
            <v>0651</v>
          </cell>
          <cell r="AK76" t="str">
            <v>1504</v>
          </cell>
          <cell r="AM76">
            <v>1</v>
          </cell>
          <cell r="AN76">
            <v>17.5</v>
          </cell>
          <cell r="AO76">
            <v>27.3</v>
          </cell>
          <cell r="AQ76">
            <v>30.29</v>
          </cell>
          <cell r="AR76">
            <v>28.57</v>
          </cell>
          <cell r="AT76">
            <v>530</v>
          </cell>
          <cell r="AU76">
            <v>780</v>
          </cell>
        </row>
        <row r="77">
          <cell r="AH77" t="str">
            <v>HF300</v>
          </cell>
          <cell r="AI77" t="str">
            <v>HEAT-RESISTING PAINT 300'C</v>
          </cell>
          <cell r="AJ77" t="str">
            <v>0652</v>
          </cell>
          <cell r="AK77" t="str">
            <v>1505</v>
          </cell>
          <cell r="AL77" t="str">
            <v>330</v>
          </cell>
          <cell r="AM77">
            <v>1</v>
          </cell>
          <cell r="AN77">
            <v>27.6</v>
          </cell>
          <cell r="AO77">
            <v>27.3</v>
          </cell>
          <cell r="AP77">
            <v>28.4</v>
          </cell>
          <cell r="AQ77">
            <v>27.17</v>
          </cell>
          <cell r="AR77">
            <v>28.57</v>
          </cell>
          <cell r="AS77">
            <v>32.54</v>
          </cell>
          <cell r="AT77">
            <v>750</v>
          </cell>
          <cell r="AU77">
            <v>780</v>
          </cell>
          <cell r="AV77">
            <v>924</v>
          </cell>
        </row>
        <row r="78">
          <cell r="AH78" t="str">
            <v>HF400</v>
          </cell>
          <cell r="AI78" t="str">
            <v>HEAT-RESISTING PAINT 400'C ALUM. SERIES.</v>
          </cell>
          <cell r="AJ78" t="str">
            <v>0654</v>
          </cell>
          <cell r="AK78" t="str">
            <v>1503</v>
          </cell>
          <cell r="AM78">
            <v>1</v>
          </cell>
          <cell r="AN78">
            <v>51.61</v>
          </cell>
          <cell r="AO78">
            <v>59.4</v>
          </cell>
          <cell r="AQ78">
            <v>25.19</v>
          </cell>
          <cell r="AR78">
            <v>28.62</v>
          </cell>
          <cell r="AT78">
            <v>1300</v>
          </cell>
          <cell r="AU78">
            <v>1700</v>
          </cell>
        </row>
        <row r="79">
          <cell r="AH79" t="str">
            <v>HF600</v>
          </cell>
          <cell r="AI79" t="str">
            <v>HEAT-RESISTING PAINT 600'C</v>
          </cell>
          <cell r="AJ79" t="str">
            <v>0655</v>
          </cell>
          <cell r="AK79" t="str">
            <v>1508</v>
          </cell>
          <cell r="AL79" t="str">
            <v>320</v>
          </cell>
          <cell r="AM79">
            <v>1</v>
          </cell>
          <cell r="AN79">
            <v>74.400000000000006</v>
          </cell>
          <cell r="AO79">
            <v>52.39</v>
          </cell>
          <cell r="AP79">
            <v>43.5</v>
          </cell>
          <cell r="AQ79">
            <v>20.16</v>
          </cell>
          <cell r="AR79">
            <v>28.63</v>
          </cell>
          <cell r="AS79">
            <v>32.479999999999997</v>
          </cell>
          <cell r="AT79">
            <v>1500</v>
          </cell>
          <cell r="AU79">
            <v>1500</v>
          </cell>
          <cell r="AV79">
            <v>1413</v>
          </cell>
        </row>
        <row r="80">
          <cell r="AH80" t="str">
            <v>ITIP</v>
          </cell>
          <cell r="AI80" t="str">
            <v>THERMOINDICATIVE PAINT INTERBOND TEMP. INDICATING PAINT</v>
          </cell>
          <cell r="AJ80" t="str">
            <v>0654</v>
          </cell>
          <cell r="AK80" t="str">
            <v>HAA-705</v>
          </cell>
          <cell r="AM80">
            <v>1</v>
          </cell>
          <cell r="AN80">
            <v>51.61</v>
          </cell>
          <cell r="AO80">
            <v>68</v>
          </cell>
          <cell r="AQ80">
            <v>25.19</v>
          </cell>
          <cell r="AR80">
            <v>10</v>
          </cell>
          <cell r="AT80">
            <v>1300</v>
          </cell>
          <cell r="AU80">
            <v>680</v>
          </cell>
        </row>
        <row r="82">
          <cell r="AI82" t="str">
            <v xml:space="preserve">POLY-VINYL BUTYRAL RESIN (PVB) </v>
          </cell>
        </row>
        <row r="83">
          <cell r="AH83" t="str">
            <v>VRLP</v>
          </cell>
          <cell r="AI83" t="str">
            <v>VINYL RED LEAD PRIMER</v>
          </cell>
          <cell r="AJ83" t="str">
            <v>0301</v>
          </cell>
          <cell r="AK83" t="str">
            <v>SP30(VP-71)</v>
          </cell>
          <cell r="AL83" t="str">
            <v xml:space="preserve"> 21</v>
          </cell>
          <cell r="AM83">
            <v>1</v>
          </cell>
          <cell r="AN83">
            <v>21.8</v>
          </cell>
          <cell r="AO83">
            <v>25.3</v>
          </cell>
          <cell r="AP83">
            <v>64.900000000000006</v>
          </cell>
          <cell r="AQ83">
            <v>25.23</v>
          </cell>
          <cell r="AR83">
            <v>23.72</v>
          </cell>
          <cell r="AS83">
            <v>21.57</v>
          </cell>
          <cell r="AT83">
            <v>550</v>
          </cell>
          <cell r="AU83">
            <v>600</v>
          </cell>
          <cell r="AV83">
            <v>1400</v>
          </cell>
        </row>
        <row r="84">
          <cell r="AH84" t="str">
            <v>VZCP</v>
          </cell>
          <cell r="AI84" t="str">
            <v>VINYL ZINC CHRMATE PRIMER</v>
          </cell>
          <cell r="AJ84" t="str">
            <v>0311</v>
          </cell>
          <cell r="AK84" t="str">
            <v>VP-72</v>
          </cell>
          <cell r="AM84">
            <v>1</v>
          </cell>
          <cell r="AN84">
            <v>24.5</v>
          </cell>
          <cell r="AO84">
            <v>28.8</v>
          </cell>
          <cell r="AQ84">
            <v>22.04</v>
          </cell>
          <cell r="AR84">
            <v>19.79</v>
          </cell>
          <cell r="AT84">
            <v>540</v>
          </cell>
          <cell r="AU84">
            <v>570</v>
          </cell>
        </row>
        <row r="85">
          <cell r="AH85" t="str">
            <v>WP</v>
          </cell>
          <cell r="AI85" t="str">
            <v>WASH PRIMER</v>
          </cell>
          <cell r="AJ85" t="str">
            <v>0345</v>
          </cell>
          <cell r="AK85" t="str">
            <v>908(SP-02)</v>
          </cell>
          <cell r="AL85" t="str">
            <v xml:space="preserve"> 11</v>
          </cell>
          <cell r="AM85">
            <v>1</v>
          </cell>
          <cell r="AN85">
            <v>55.83</v>
          </cell>
          <cell r="AO85">
            <v>37.1</v>
          </cell>
          <cell r="AP85">
            <v>78.3</v>
          </cell>
          <cell r="AQ85">
            <v>8.06</v>
          </cell>
          <cell r="AR85">
            <v>11.86</v>
          </cell>
          <cell r="AS85">
            <v>8.94</v>
          </cell>
          <cell r="AT85">
            <v>450</v>
          </cell>
          <cell r="AU85">
            <v>440</v>
          </cell>
          <cell r="AV85">
            <v>700</v>
          </cell>
        </row>
        <row r="86">
          <cell r="AH86" t="str">
            <v>VE</v>
          </cell>
          <cell r="AI86" t="str">
            <v xml:space="preserve">VINYL ENAMEL </v>
          </cell>
          <cell r="AJ86" t="str">
            <v>0351</v>
          </cell>
          <cell r="AK86" t="str">
            <v>SP32(VA-11)</v>
          </cell>
          <cell r="AM86">
            <v>1</v>
          </cell>
          <cell r="AN86">
            <v>29.1</v>
          </cell>
          <cell r="AO86">
            <v>26.21</v>
          </cell>
          <cell r="AQ86">
            <v>18.899999999999999</v>
          </cell>
          <cell r="AR86">
            <v>19.079999999999998</v>
          </cell>
          <cell r="AT86">
            <v>550</v>
          </cell>
          <cell r="AU86">
            <v>500</v>
          </cell>
        </row>
        <row r="87">
          <cell r="AI87" t="str">
            <v>PIGMENTED PVC VINYL FINISH</v>
          </cell>
          <cell r="AJ87" t="str">
            <v>4340(U-400)</v>
          </cell>
          <cell r="AK87" t="str">
            <v>SP34(VA-51)</v>
          </cell>
          <cell r="AM87">
            <v>1</v>
          </cell>
          <cell r="AN87">
            <v>21.2</v>
          </cell>
          <cell r="AO87">
            <v>27.3</v>
          </cell>
          <cell r="AQ87">
            <v>30.19</v>
          </cell>
          <cell r="AR87">
            <v>19.78</v>
          </cell>
          <cell r="AT87">
            <v>640</v>
          </cell>
          <cell r="AU87">
            <v>540</v>
          </cell>
        </row>
        <row r="89">
          <cell r="AI89" t="str">
            <v xml:space="preserve">POLYOL POLYISOCYANATE </v>
          </cell>
        </row>
        <row r="90">
          <cell r="AH90" t="str">
            <v>PCC</v>
          </cell>
          <cell r="AI90" t="str">
            <v xml:space="preserve">POLYURETHANE COATING CLEAR </v>
          </cell>
          <cell r="AJ90" t="str">
            <v>0550</v>
          </cell>
          <cell r="AK90" t="str">
            <v>722</v>
          </cell>
          <cell r="AL90" t="str">
            <v xml:space="preserve"> 67</v>
          </cell>
          <cell r="AM90">
            <v>1</v>
          </cell>
          <cell r="AN90">
            <v>27.8</v>
          </cell>
          <cell r="AO90">
            <v>29.8</v>
          </cell>
          <cell r="AP90">
            <v>81.790000000000006</v>
          </cell>
          <cell r="AQ90">
            <v>25.18</v>
          </cell>
          <cell r="AR90">
            <v>25.17</v>
          </cell>
          <cell r="AS90">
            <v>18.34</v>
          </cell>
          <cell r="AT90">
            <v>700</v>
          </cell>
          <cell r="AU90">
            <v>750</v>
          </cell>
          <cell r="AV90">
            <v>1500</v>
          </cell>
        </row>
        <row r="91">
          <cell r="AH91" t="str">
            <v>PF</v>
          </cell>
          <cell r="AI91" t="str">
            <v>POLYURETHANE COATING</v>
          </cell>
          <cell r="AJ91" t="str">
            <v>0551</v>
          </cell>
          <cell r="AK91" t="str">
            <v>725</v>
          </cell>
          <cell r="AL91" t="str">
            <v xml:space="preserve"> 66</v>
          </cell>
          <cell r="AM91">
            <v>1</v>
          </cell>
          <cell r="AN91">
            <v>33.1</v>
          </cell>
          <cell r="AO91">
            <v>29.8</v>
          </cell>
          <cell r="AP91">
            <v>92.79</v>
          </cell>
          <cell r="AQ91">
            <v>27.19</v>
          </cell>
          <cell r="AR91">
            <v>30.2</v>
          </cell>
          <cell r="AS91">
            <v>18.32</v>
          </cell>
          <cell r="AT91">
            <v>900</v>
          </cell>
          <cell r="AU91">
            <v>900</v>
          </cell>
          <cell r="AV91">
            <v>1700</v>
          </cell>
        </row>
        <row r="92">
          <cell r="AH92" t="str">
            <v>PFC</v>
          </cell>
          <cell r="AI92" t="str">
            <v>POLYURETHANE COATING</v>
          </cell>
          <cell r="AJ92" t="str">
            <v>0551</v>
          </cell>
          <cell r="AK92" t="str">
            <v>UP-04</v>
          </cell>
          <cell r="AL92" t="str">
            <v xml:space="preserve"> 66</v>
          </cell>
          <cell r="AM92">
            <v>1</v>
          </cell>
          <cell r="AN92">
            <v>36.78</v>
          </cell>
          <cell r="AO92">
            <v>16.059999999999999</v>
          </cell>
          <cell r="AP92">
            <v>92.79</v>
          </cell>
          <cell r="AQ92">
            <v>27.19</v>
          </cell>
          <cell r="AR92">
            <v>30.2</v>
          </cell>
          <cell r="AS92">
            <v>18.32</v>
          </cell>
          <cell r="AT92">
            <v>1000</v>
          </cell>
          <cell r="AU92">
            <v>485</v>
          </cell>
          <cell r="AV92">
            <v>1700</v>
          </cell>
        </row>
        <row r="93">
          <cell r="AH93" t="str">
            <v>AICP</v>
          </cell>
          <cell r="AI93" t="str">
            <v>ALIPHATIC ISCYANATE CURED POLYURETHANE FIN.</v>
          </cell>
          <cell r="AJ93" t="str">
            <v>4231(I-300)</v>
          </cell>
          <cell r="AK93" t="str">
            <v>728</v>
          </cell>
          <cell r="AM93">
            <v>1</v>
          </cell>
          <cell r="AN93">
            <v>46.3</v>
          </cell>
          <cell r="AO93">
            <v>56.2</v>
          </cell>
          <cell r="AQ93">
            <v>30.24</v>
          </cell>
          <cell r="AR93">
            <v>30.25</v>
          </cell>
          <cell r="AT93">
            <v>1400</v>
          </cell>
          <cell r="AU93">
            <v>1700</v>
          </cell>
        </row>
        <row r="94">
          <cell r="AI94" t="str">
            <v>POLYURETHANE TANK LINING</v>
          </cell>
          <cell r="AJ94" t="str">
            <v>4230(I-310)</v>
          </cell>
          <cell r="AK94" t="str">
            <v>733</v>
          </cell>
          <cell r="AM94">
            <v>1</v>
          </cell>
          <cell r="AN94">
            <v>37</v>
          </cell>
          <cell r="AO94">
            <v>19.8</v>
          </cell>
          <cell r="AQ94">
            <v>37.840000000000003</v>
          </cell>
          <cell r="AR94">
            <v>28.79</v>
          </cell>
          <cell r="AT94">
            <v>1400</v>
          </cell>
          <cell r="AU94">
            <v>570</v>
          </cell>
        </row>
        <row r="95">
          <cell r="AI95" t="str">
            <v>NON-REACTIVE POLYURETHANE PRIMER</v>
          </cell>
          <cell r="AJ95" t="str">
            <v>4239(I-350)</v>
          </cell>
          <cell r="AM95">
            <v>1</v>
          </cell>
          <cell r="AN95">
            <v>18</v>
          </cell>
          <cell r="AQ95">
            <v>55.56</v>
          </cell>
          <cell r="AT95">
            <v>1000</v>
          </cell>
        </row>
        <row r="96">
          <cell r="AI96" t="str">
            <v>CLEAR POLYURETHANE FINISH</v>
          </cell>
          <cell r="AJ96" t="str">
            <v>4235(I-390)</v>
          </cell>
          <cell r="AK96" t="str">
            <v>1101</v>
          </cell>
          <cell r="AM96">
            <v>1</v>
          </cell>
          <cell r="AN96">
            <v>31.7</v>
          </cell>
          <cell r="AO96">
            <v>17</v>
          </cell>
          <cell r="AQ96">
            <v>37.85</v>
          </cell>
          <cell r="AR96">
            <v>26.47</v>
          </cell>
          <cell r="AT96">
            <v>1200</v>
          </cell>
          <cell r="AU96">
            <v>450</v>
          </cell>
        </row>
        <row r="97">
          <cell r="AI97" t="str">
            <v>URETHANE CHROMATE PRIMER</v>
          </cell>
          <cell r="AJ97" t="str">
            <v>4420(A-200)</v>
          </cell>
          <cell r="AK97" t="str">
            <v>1106</v>
          </cell>
          <cell r="AM97">
            <v>1</v>
          </cell>
          <cell r="AN97">
            <v>21.6</v>
          </cell>
          <cell r="AO97">
            <v>12.5</v>
          </cell>
          <cell r="AQ97">
            <v>37.04</v>
          </cell>
          <cell r="AR97">
            <v>24</v>
          </cell>
          <cell r="AT97">
            <v>800</v>
          </cell>
          <cell r="AU97">
            <v>300</v>
          </cell>
        </row>
        <row r="98">
          <cell r="AI98" t="str">
            <v>ZINC TETROXYCHROMATE BUTYRAL ETCH PRIMER</v>
          </cell>
          <cell r="AJ98" t="str">
            <v>4322(U-220)</v>
          </cell>
          <cell r="AK98" t="str">
            <v>738</v>
          </cell>
          <cell r="AM98">
            <v>1</v>
          </cell>
          <cell r="AN98">
            <v>58.41</v>
          </cell>
          <cell r="AO98">
            <v>69.59</v>
          </cell>
          <cell r="AQ98">
            <v>8.56</v>
          </cell>
          <cell r="AR98">
            <v>28.74</v>
          </cell>
          <cell r="AT98">
            <v>500</v>
          </cell>
          <cell r="AU98">
            <v>2000</v>
          </cell>
        </row>
        <row r="100">
          <cell r="AI100" t="str">
            <v>MASONRY &amp; ACRYLIC PAINT</v>
          </cell>
        </row>
        <row r="101">
          <cell r="AI101" t="str">
            <v>SOLVENT BASE MASONRY PRIMER</v>
          </cell>
          <cell r="AJ101" t="str">
            <v>1541</v>
          </cell>
          <cell r="AL101" t="str">
            <v>140</v>
          </cell>
          <cell r="AM101">
            <v>1</v>
          </cell>
          <cell r="AN101">
            <v>9.6999999999999993</v>
          </cell>
          <cell r="AP101">
            <v>14</v>
          </cell>
          <cell r="AQ101">
            <v>40.21</v>
          </cell>
          <cell r="AS101">
            <v>30.36</v>
          </cell>
          <cell r="AT101">
            <v>390</v>
          </cell>
          <cell r="AV101">
            <v>425</v>
          </cell>
        </row>
        <row r="102">
          <cell r="AI102" t="str">
            <v>WATER BASE MASONRY PRIMER</v>
          </cell>
          <cell r="AJ102" t="str">
            <v>1546</v>
          </cell>
          <cell r="AL102" t="str">
            <v>140-1</v>
          </cell>
          <cell r="AM102">
            <v>1</v>
          </cell>
          <cell r="AN102">
            <v>8.1999999999999993</v>
          </cell>
          <cell r="AP102">
            <v>12</v>
          </cell>
          <cell r="AQ102">
            <v>40.24</v>
          </cell>
          <cell r="AS102">
            <v>33.83</v>
          </cell>
          <cell r="AT102">
            <v>330</v>
          </cell>
          <cell r="AV102">
            <v>406</v>
          </cell>
        </row>
        <row r="103">
          <cell r="AI103" t="str">
            <v>WATER BASE MASONRY PAINT</v>
          </cell>
          <cell r="AJ103" t="str">
            <v>1556</v>
          </cell>
          <cell r="AM103">
            <v>1</v>
          </cell>
          <cell r="AN103">
            <v>11.9</v>
          </cell>
          <cell r="AQ103">
            <v>36.97</v>
          </cell>
          <cell r="AT103">
            <v>440</v>
          </cell>
        </row>
        <row r="104">
          <cell r="AI104" t="str">
            <v xml:space="preserve">ACRYLIC EMULSION PAINT </v>
          </cell>
          <cell r="AJ104" t="str">
            <v>1656</v>
          </cell>
          <cell r="AM104">
            <v>1</v>
          </cell>
          <cell r="AN104">
            <v>9.4</v>
          </cell>
          <cell r="AP104">
            <v>25.8</v>
          </cell>
          <cell r="AQ104">
            <v>38.299999999999997</v>
          </cell>
          <cell r="AS104">
            <v>34.880000000000003</v>
          </cell>
          <cell r="AT104">
            <v>360</v>
          </cell>
          <cell r="AV104">
            <v>900</v>
          </cell>
        </row>
        <row r="105">
          <cell r="AI105" t="str">
            <v xml:space="preserve">EMULSION PAINT </v>
          </cell>
          <cell r="AJ105" t="str">
            <v>1657</v>
          </cell>
          <cell r="AL105" t="str">
            <v>130</v>
          </cell>
          <cell r="AM105">
            <v>1</v>
          </cell>
          <cell r="AN105">
            <v>6.4</v>
          </cell>
          <cell r="AP105">
            <v>5.8</v>
          </cell>
          <cell r="AQ105">
            <v>40.630000000000003</v>
          </cell>
          <cell r="AS105">
            <v>34.83</v>
          </cell>
          <cell r="AT105">
            <v>260</v>
          </cell>
          <cell r="AV105">
            <v>202</v>
          </cell>
        </row>
        <row r="107">
          <cell r="AI107" t="str">
            <v>OTHER PAINT</v>
          </cell>
        </row>
        <row r="108">
          <cell r="AH108" t="str">
            <v>AO</v>
          </cell>
          <cell r="AI108" t="str">
            <v>AMERLOCK-400 100,</v>
          </cell>
          <cell r="AM108">
            <v>1</v>
          </cell>
          <cell r="AO108">
            <v>35</v>
          </cell>
          <cell r="AR108">
            <v>21</v>
          </cell>
          <cell r="AU108">
            <v>735</v>
          </cell>
        </row>
        <row r="109">
          <cell r="AI109" t="str">
            <v>BLACK VARNISH</v>
          </cell>
          <cell r="AJ109" t="str">
            <v>1727</v>
          </cell>
          <cell r="AL109" t="str">
            <v>170</v>
          </cell>
          <cell r="AM109">
            <v>1</v>
          </cell>
          <cell r="AN109">
            <v>5.8</v>
          </cell>
          <cell r="AP109">
            <v>6.2</v>
          </cell>
          <cell r="AQ109">
            <v>34.479999999999997</v>
          </cell>
          <cell r="AS109">
            <v>26.94</v>
          </cell>
          <cell r="AT109">
            <v>200</v>
          </cell>
          <cell r="AV109">
            <v>167</v>
          </cell>
        </row>
        <row r="110">
          <cell r="AI110" t="str">
            <v>NEO WATER PROOF COATING</v>
          </cell>
          <cell r="AJ110" t="str">
            <v>1728</v>
          </cell>
          <cell r="AL110" t="str">
            <v>160</v>
          </cell>
          <cell r="AM110">
            <v>1</v>
          </cell>
          <cell r="AN110">
            <v>4.4000000000000004</v>
          </cell>
          <cell r="AP110">
            <v>6.7</v>
          </cell>
          <cell r="AQ110">
            <v>227.27</v>
          </cell>
          <cell r="AS110">
            <v>28.81</v>
          </cell>
          <cell r="AT110">
            <v>1000</v>
          </cell>
          <cell r="AV110">
            <v>193</v>
          </cell>
        </row>
      </sheetData>
      <sheetData sheetId="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切割 MTL"/>
      <sheetName val="切割 DI"/>
      <sheetName val="ESTI."/>
      <sheetName val="DI-ESTI"/>
    </sheetNames>
    <sheetDataSet>
      <sheetData sheetId="0" refreshError="1"/>
      <sheetData sheetId="1" refreshError="1"/>
      <sheetData sheetId="2" refreshError="1">
        <row r="1">
          <cell r="A1" t="str">
            <v>STATISTICAL ESTIMATION OF FITTINGS AND VALVES FOR PIPING WORK</v>
          </cell>
        </row>
        <row r="2">
          <cell r="A2" t="str">
            <v xml:space="preserve">PROJECT NO : </v>
          </cell>
        </row>
        <row r="3">
          <cell r="A3" t="str">
            <v>Fc =</v>
          </cell>
          <cell r="B3">
            <v>1</v>
          </cell>
          <cell r="C3" t="str">
            <v>Fp =</v>
          </cell>
          <cell r="D3">
            <v>0.1</v>
          </cell>
        </row>
        <row r="4">
          <cell r="F4" t="str">
            <v>FITTING NO</v>
          </cell>
          <cell r="N4" t="str">
            <v>VALVE NO</v>
          </cell>
          <cell r="R4" t="str">
            <v>TOTAL</v>
          </cell>
          <cell r="S4" t="str">
            <v>TOTAL</v>
          </cell>
          <cell r="T4" t="str">
            <v>J/M</v>
          </cell>
          <cell r="U4" t="str">
            <v>J/M</v>
          </cell>
        </row>
        <row r="5">
          <cell r="A5" t="str">
            <v>NO</v>
          </cell>
          <cell r="B5" t="str">
            <v>SIZE</v>
          </cell>
          <cell r="C5" t="str">
            <v>SCH</v>
          </cell>
          <cell r="D5" t="str">
            <v>LG (M)</v>
          </cell>
          <cell r="E5" t="str">
            <v>IN-M</v>
          </cell>
          <cell r="F5" t="str">
            <v>90 ELL</v>
          </cell>
          <cell r="G5" t="str">
            <v>45 ELL</v>
          </cell>
          <cell r="H5" t="str">
            <v>TEE</v>
          </cell>
          <cell r="I5" t="str">
            <v>RED</v>
          </cell>
          <cell r="J5" t="str">
            <v>FLG</v>
          </cell>
          <cell r="K5" t="str">
            <v>CPLG</v>
          </cell>
          <cell r="L5" t="str">
            <v>CAP</v>
          </cell>
          <cell r="M5" t="str">
            <v>TOTAL</v>
          </cell>
          <cell r="N5" t="str">
            <v>BLOCK</v>
          </cell>
          <cell r="O5" t="str">
            <v>CHECK</v>
          </cell>
          <cell r="P5" t="str">
            <v>GLOBE</v>
          </cell>
          <cell r="Q5" t="str">
            <v>TOTAL</v>
          </cell>
          <cell r="R5" t="str">
            <v>JOINT</v>
          </cell>
          <cell r="S5" t="str">
            <v>DI</v>
          </cell>
          <cell r="T5" t="str">
            <v>(JOINT)</v>
          </cell>
          <cell r="U5" t="str">
            <v>(DI)</v>
          </cell>
        </row>
        <row r="6">
          <cell r="A6">
            <v>1</v>
          </cell>
          <cell r="B6">
            <v>0.5</v>
          </cell>
          <cell r="E6" t="str">
            <v xml:space="preserve"> </v>
          </cell>
          <cell r="F6">
            <v>0</v>
          </cell>
          <cell r="G6">
            <v>0</v>
          </cell>
          <cell r="H6">
            <v>0</v>
          </cell>
          <cell r="I6">
            <v>0</v>
          </cell>
          <cell r="J6">
            <v>0</v>
          </cell>
          <cell r="K6">
            <v>0</v>
          </cell>
          <cell r="L6">
            <v>0</v>
          </cell>
          <cell r="M6">
            <v>0</v>
          </cell>
          <cell r="N6">
            <v>0</v>
          </cell>
          <cell r="O6">
            <v>0</v>
          </cell>
          <cell r="P6">
            <v>0</v>
          </cell>
          <cell r="Q6">
            <v>0</v>
          </cell>
          <cell r="R6">
            <v>0</v>
          </cell>
          <cell r="S6">
            <v>0</v>
          </cell>
          <cell r="T6" t="str">
            <v xml:space="preserve"> </v>
          </cell>
          <cell r="U6" t="str">
            <v xml:space="preserve"> </v>
          </cell>
        </row>
        <row r="7">
          <cell r="A7">
            <v>2</v>
          </cell>
          <cell r="B7">
            <v>0.75</v>
          </cell>
          <cell r="E7" t="str">
            <v xml:space="preserve"> </v>
          </cell>
          <cell r="F7">
            <v>0</v>
          </cell>
          <cell r="G7">
            <v>0</v>
          </cell>
          <cell r="H7">
            <v>0</v>
          </cell>
          <cell r="I7">
            <v>0</v>
          </cell>
          <cell r="J7">
            <v>0</v>
          </cell>
          <cell r="K7">
            <v>0</v>
          </cell>
          <cell r="L7">
            <v>0</v>
          </cell>
          <cell r="M7">
            <v>0</v>
          </cell>
          <cell r="N7">
            <v>0</v>
          </cell>
          <cell r="O7">
            <v>0</v>
          </cell>
          <cell r="P7">
            <v>0</v>
          </cell>
          <cell r="Q7">
            <v>0</v>
          </cell>
          <cell r="R7">
            <v>0</v>
          </cell>
          <cell r="S7">
            <v>0</v>
          </cell>
          <cell r="T7" t="str">
            <v xml:space="preserve"> </v>
          </cell>
          <cell r="U7" t="str">
            <v xml:space="preserve"> </v>
          </cell>
        </row>
        <row r="8">
          <cell r="A8">
            <v>3</v>
          </cell>
          <cell r="B8">
            <v>1</v>
          </cell>
          <cell r="E8" t="str">
            <v xml:space="preserve"> </v>
          </cell>
          <cell r="F8">
            <v>0</v>
          </cell>
          <cell r="G8">
            <v>0</v>
          </cell>
          <cell r="H8">
            <v>0</v>
          </cell>
          <cell r="I8">
            <v>0</v>
          </cell>
          <cell r="J8">
            <v>0</v>
          </cell>
          <cell r="K8">
            <v>0</v>
          </cell>
          <cell r="L8">
            <v>0</v>
          </cell>
          <cell r="M8">
            <v>0</v>
          </cell>
          <cell r="N8">
            <v>0</v>
          </cell>
          <cell r="O8">
            <v>0</v>
          </cell>
          <cell r="P8">
            <v>0</v>
          </cell>
          <cell r="Q8">
            <v>0</v>
          </cell>
          <cell r="R8">
            <v>0</v>
          </cell>
          <cell r="S8">
            <v>0</v>
          </cell>
          <cell r="T8" t="str">
            <v xml:space="preserve"> </v>
          </cell>
          <cell r="U8" t="str">
            <v xml:space="preserve"> </v>
          </cell>
        </row>
        <row r="9">
          <cell r="A9">
            <v>4</v>
          </cell>
          <cell r="B9">
            <v>1.5</v>
          </cell>
          <cell r="E9" t="str">
            <v xml:space="preserve"> </v>
          </cell>
          <cell r="F9">
            <v>0</v>
          </cell>
          <cell r="G9">
            <v>0</v>
          </cell>
          <cell r="H9">
            <v>0</v>
          </cell>
          <cell r="I9">
            <v>0</v>
          </cell>
          <cell r="J9">
            <v>0</v>
          </cell>
          <cell r="K9">
            <v>0</v>
          </cell>
          <cell r="L9">
            <v>0</v>
          </cell>
          <cell r="M9">
            <v>0</v>
          </cell>
          <cell r="N9">
            <v>0</v>
          </cell>
          <cell r="O9">
            <v>0</v>
          </cell>
          <cell r="P9">
            <v>0</v>
          </cell>
          <cell r="Q9">
            <v>0</v>
          </cell>
          <cell r="R9">
            <v>0</v>
          </cell>
          <cell r="S9">
            <v>0</v>
          </cell>
          <cell r="T9" t="str">
            <v xml:space="preserve"> </v>
          </cell>
          <cell r="U9" t="str">
            <v xml:space="preserve"> </v>
          </cell>
        </row>
        <row r="10">
          <cell r="A10">
            <v>5</v>
          </cell>
          <cell r="B10">
            <v>2</v>
          </cell>
          <cell r="E10" t="str">
            <v xml:space="preserve"> </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t="str">
            <v xml:space="preserve"> </v>
          </cell>
          <cell r="U10" t="str">
            <v xml:space="preserve"> </v>
          </cell>
        </row>
        <row r="11">
          <cell r="A11">
            <v>6</v>
          </cell>
          <cell r="B11">
            <v>2.5</v>
          </cell>
          <cell r="E11" t="str">
            <v xml:space="preserve"> </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t="str">
            <v xml:space="preserve"> </v>
          </cell>
          <cell r="U11" t="str">
            <v xml:space="preserve"> </v>
          </cell>
        </row>
        <row r="12">
          <cell r="A12">
            <v>7</v>
          </cell>
          <cell r="B12">
            <v>3</v>
          </cell>
          <cell r="E12" t="str">
            <v xml:space="preserve"> </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t="str">
            <v xml:space="preserve"> </v>
          </cell>
          <cell r="U12" t="str">
            <v xml:space="preserve"> </v>
          </cell>
        </row>
        <row r="13">
          <cell r="A13">
            <v>8</v>
          </cell>
          <cell r="B13">
            <v>4</v>
          </cell>
          <cell r="E13" t="str">
            <v xml:space="preserve"> </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t="str">
            <v xml:space="preserve"> </v>
          </cell>
          <cell r="U13" t="str">
            <v xml:space="preserve"> </v>
          </cell>
        </row>
        <row r="14">
          <cell r="A14">
            <v>9</v>
          </cell>
          <cell r="B14">
            <v>5</v>
          </cell>
          <cell r="E14" t="str">
            <v xml:space="preserve"> </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t="str">
            <v xml:space="preserve"> </v>
          </cell>
          <cell r="U14" t="str">
            <v xml:space="preserve"> </v>
          </cell>
        </row>
        <row r="15">
          <cell r="A15">
            <v>10</v>
          </cell>
          <cell r="B15">
            <v>6</v>
          </cell>
          <cell r="E15" t="str">
            <v xml:space="preserve"> </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t="str">
            <v xml:space="preserve"> </v>
          </cell>
          <cell r="U15" t="str">
            <v xml:space="preserve"> </v>
          </cell>
        </row>
        <row r="16">
          <cell r="A16">
            <v>11</v>
          </cell>
          <cell r="B16">
            <v>8</v>
          </cell>
          <cell r="E16" t="str">
            <v xml:space="preserve"> </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t="str">
            <v xml:space="preserve"> </v>
          </cell>
          <cell r="U16" t="str">
            <v xml:space="preserve"> </v>
          </cell>
        </row>
        <row r="17">
          <cell r="A17">
            <v>12</v>
          </cell>
          <cell r="B17">
            <v>10</v>
          </cell>
          <cell r="E17" t="str">
            <v xml:space="preserve"> </v>
          </cell>
          <cell r="F17">
            <v>0</v>
          </cell>
          <cell r="G17">
            <v>0</v>
          </cell>
          <cell r="H17">
            <v>0</v>
          </cell>
          <cell r="I17">
            <v>0</v>
          </cell>
          <cell r="J17">
            <v>0</v>
          </cell>
          <cell r="L17">
            <v>0</v>
          </cell>
          <cell r="M17">
            <v>0</v>
          </cell>
          <cell r="N17">
            <v>0</v>
          </cell>
          <cell r="O17">
            <v>0</v>
          </cell>
          <cell r="P17">
            <v>0</v>
          </cell>
          <cell r="Q17">
            <v>0</v>
          </cell>
          <cell r="R17">
            <v>0</v>
          </cell>
          <cell r="S17">
            <v>0</v>
          </cell>
          <cell r="T17" t="str">
            <v xml:space="preserve"> </v>
          </cell>
          <cell r="U17" t="str">
            <v xml:space="preserve"> </v>
          </cell>
        </row>
        <row r="18">
          <cell r="A18">
            <v>13</v>
          </cell>
          <cell r="B18">
            <v>12</v>
          </cell>
          <cell r="E18" t="str">
            <v xml:space="preserve"> </v>
          </cell>
          <cell r="F18">
            <v>0</v>
          </cell>
          <cell r="G18">
            <v>0</v>
          </cell>
          <cell r="H18">
            <v>0</v>
          </cell>
          <cell r="I18">
            <v>0</v>
          </cell>
          <cell r="J18">
            <v>0</v>
          </cell>
          <cell r="L18">
            <v>0</v>
          </cell>
          <cell r="M18">
            <v>0</v>
          </cell>
          <cell r="N18">
            <v>0</v>
          </cell>
          <cell r="O18">
            <v>0</v>
          </cell>
          <cell r="P18">
            <v>0</v>
          </cell>
          <cell r="Q18">
            <v>0</v>
          </cell>
          <cell r="R18">
            <v>0</v>
          </cell>
          <cell r="S18">
            <v>0</v>
          </cell>
          <cell r="T18" t="str">
            <v xml:space="preserve"> </v>
          </cell>
          <cell r="U18" t="str">
            <v xml:space="preserve"> </v>
          </cell>
        </row>
        <row r="19">
          <cell r="A19">
            <v>14</v>
          </cell>
          <cell r="B19">
            <v>14</v>
          </cell>
          <cell r="E19" t="str">
            <v xml:space="preserve"> </v>
          </cell>
          <cell r="F19">
            <v>0</v>
          </cell>
          <cell r="G19">
            <v>0</v>
          </cell>
          <cell r="H19">
            <v>0</v>
          </cell>
          <cell r="I19">
            <v>0</v>
          </cell>
          <cell r="J19">
            <v>0</v>
          </cell>
          <cell r="L19">
            <v>0</v>
          </cell>
          <cell r="M19">
            <v>0</v>
          </cell>
          <cell r="N19">
            <v>0</v>
          </cell>
          <cell r="O19">
            <v>0</v>
          </cell>
          <cell r="P19">
            <v>0</v>
          </cell>
          <cell r="Q19">
            <v>0</v>
          </cell>
          <cell r="R19">
            <v>0</v>
          </cell>
          <cell r="S19">
            <v>0</v>
          </cell>
          <cell r="T19" t="str">
            <v xml:space="preserve"> </v>
          </cell>
          <cell r="U19" t="str">
            <v xml:space="preserve"> </v>
          </cell>
        </row>
        <row r="20">
          <cell r="A20">
            <v>15</v>
          </cell>
          <cell r="B20">
            <v>16</v>
          </cell>
          <cell r="E20" t="str">
            <v xml:space="preserve"> </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t="str">
            <v xml:space="preserve"> </v>
          </cell>
          <cell r="U20" t="str">
            <v xml:space="preserve"> </v>
          </cell>
        </row>
        <row r="21">
          <cell r="A21">
            <v>16</v>
          </cell>
          <cell r="B21">
            <v>18</v>
          </cell>
          <cell r="E21" t="str">
            <v xml:space="preserve"> </v>
          </cell>
          <cell r="F21">
            <v>0</v>
          </cell>
          <cell r="G21">
            <v>0</v>
          </cell>
          <cell r="H21">
            <v>0</v>
          </cell>
          <cell r="I21">
            <v>0</v>
          </cell>
          <cell r="J21">
            <v>0</v>
          </cell>
          <cell r="L21">
            <v>0</v>
          </cell>
          <cell r="M21">
            <v>0</v>
          </cell>
          <cell r="N21">
            <v>0</v>
          </cell>
          <cell r="O21">
            <v>0</v>
          </cell>
          <cell r="P21">
            <v>0</v>
          </cell>
          <cell r="Q21">
            <v>0</v>
          </cell>
          <cell r="R21">
            <v>0</v>
          </cell>
          <cell r="S21">
            <v>0</v>
          </cell>
          <cell r="T21" t="str">
            <v xml:space="preserve"> </v>
          </cell>
          <cell r="U21" t="str">
            <v xml:space="preserve"> </v>
          </cell>
        </row>
        <row r="22">
          <cell r="A22">
            <v>17</v>
          </cell>
          <cell r="B22">
            <v>20</v>
          </cell>
          <cell r="E22" t="str">
            <v xml:space="preserve"> </v>
          </cell>
          <cell r="F22">
            <v>0</v>
          </cell>
          <cell r="G22">
            <v>0</v>
          </cell>
          <cell r="H22">
            <v>0</v>
          </cell>
          <cell r="I22">
            <v>0</v>
          </cell>
          <cell r="J22">
            <v>0</v>
          </cell>
          <cell r="L22">
            <v>0</v>
          </cell>
          <cell r="M22">
            <v>0</v>
          </cell>
          <cell r="N22">
            <v>0</v>
          </cell>
          <cell r="O22">
            <v>0</v>
          </cell>
          <cell r="P22">
            <v>0</v>
          </cell>
          <cell r="Q22">
            <v>0</v>
          </cell>
          <cell r="R22">
            <v>0</v>
          </cell>
          <cell r="S22">
            <v>0</v>
          </cell>
          <cell r="T22" t="str">
            <v xml:space="preserve"> </v>
          </cell>
          <cell r="U22" t="str">
            <v xml:space="preserve"> </v>
          </cell>
        </row>
        <row r="23">
          <cell r="A23">
            <v>18</v>
          </cell>
          <cell r="B23">
            <v>22</v>
          </cell>
          <cell r="E23" t="str">
            <v xml:space="preserve"> </v>
          </cell>
          <cell r="F23">
            <v>0</v>
          </cell>
          <cell r="G23">
            <v>0</v>
          </cell>
          <cell r="H23">
            <v>0</v>
          </cell>
          <cell r="I23">
            <v>0</v>
          </cell>
          <cell r="J23">
            <v>0</v>
          </cell>
          <cell r="L23">
            <v>0</v>
          </cell>
          <cell r="M23">
            <v>0</v>
          </cell>
          <cell r="N23">
            <v>0</v>
          </cell>
          <cell r="O23">
            <v>0</v>
          </cell>
          <cell r="P23">
            <v>0</v>
          </cell>
          <cell r="Q23">
            <v>0</v>
          </cell>
          <cell r="R23">
            <v>0</v>
          </cell>
          <cell r="S23">
            <v>0</v>
          </cell>
          <cell r="T23" t="str">
            <v xml:space="preserve"> </v>
          </cell>
          <cell r="U23" t="str">
            <v xml:space="preserve"> </v>
          </cell>
        </row>
        <row r="24">
          <cell r="A24">
            <v>19</v>
          </cell>
          <cell r="B24">
            <v>24</v>
          </cell>
          <cell r="E24" t="str">
            <v xml:space="preserve"> </v>
          </cell>
          <cell r="F24">
            <v>0</v>
          </cell>
          <cell r="G24">
            <v>0</v>
          </cell>
          <cell r="H24">
            <v>0</v>
          </cell>
          <cell r="I24">
            <v>0</v>
          </cell>
          <cell r="J24">
            <v>0</v>
          </cell>
          <cell r="L24">
            <v>0</v>
          </cell>
          <cell r="M24">
            <v>0</v>
          </cell>
          <cell r="N24">
            <v>0</v>
          </cell>
          <cell r="O24">
            <v>0</v>
          </cell>
          <cell r="P24">
            <v>0</v>
          </cell>
          <cell r="Q24">
            <v>0</v>
          </cell>
          <cell r="R24">
            <v>0</v>
          </cell>
          <cell r="S24">
            <v>0</v>
          </cell>
          <cell r="T24" t="str">
            <v xml:space="preserve"> </v>
          </cell>
          <cell r="U24" t="str">
            <v xml:space="preserve"> </v>
          </cell>
        </row>
        <row r="25">
          <cell r="A25">
            <v>20</v>
          </cell>
          <cell r="B25">
            <v>26</v>
          </cell>
          <cell r="E25" t="str">
            <v xml:space="preserve"> </v>
          </cell>
          <cell r="F25">
            <v>0</v>
          </cell>
          <cell r="G25">
            <v>0</v>
          </cell>
          <cell r="H25">
            <v>0</v>
          </cell>
          <cell r="I25">
            <v>0</v>
          </cell>
          <cell r="J25">
            <v>0</v>
          </cell>
          <cell r="L25">
            <v>0</v>
          </cell>
          <cell r="M25">
            <v>0</v>
          </cell>
          <cell r="N25">
            <v>0</v>
          </cell>
          <cell r="O25">
            <v>0</v>
          </cell>
          <cell r="P25">
            <v>0</v>
          </cell>
          <cell r="Q25">
            <v>0</v>
          </cell>
          <cell r="R25">
            <v>0</v>
          </cell>
          <cell r="S25">
            <v>0</v>
          </cell>
          <cell r="T25" t="str">
            <v xml:space="preserve"> </v>
          </cell>
          <cell r="U25" t="str">
            <v xml:space="preserve"> </v>
          </cell>
        </row>
        <row r="26">
          <cell r="A26">
            <v>21</v>
          </cell>
          <cell r="B26">
            <v>28</v>
          </cell>
          <cell r="E26" t="str">
            <v xml:space="preserve"> </v>
          </cell>
          <cell r="F26">
            <v>0</v>
          </cell>
          <cell r="G26">
            <v>0</v>
          </cell>
          <cell r="H26">
            <v>0</v>
          </cell>
          <cell r="I26">
            <v>0</v>
          </cell>
          <cell r="J26">
            <v>0</v>
          </cell>
          <cell r="L26">
            <v>0</v>
          </cell>
          <cell r="M26">
            <v>0</v>
          </cell>
          <cell r="N26">
            <v>0</v>
          </cell>
          <cell r="O26">
            <v>0</v>
          </cell>
          <cell r="P26">
            <v>0</v>
          </cell>
          <cell r="Q26">
            <v>0</v>
          </cell>
          <cell r="R26">
            <v>0</v>
          </cell>
          <cell r="S26">
            <v>0</v>
          </cell>
          <cell r="T26" t="str">
            <v xml:space="preserve"> </v>
          </cell>
          <cell r="U26" t="str">
            <v xml:space="preserve"> </v>
          </cell>
        </row>
        <row r="27">
          <cell r="A27">
            <v>22</v>
          </cell>
          <cell r="B27">
            <v>30</v>
          </cell>
          <cell r="E27" t="str">
            <v xml:space="preserve"> </v>
          </cell>
          <cell r="F27">
            <v>0</v>
          </cell>
          <cell r="G27">
            <v>0</v>
          </cell>
          <cell r="H27">
            <v>0</v>
          </cell>
          <cell r="I27">
            <v>0</v>
          </cell>
          <cell r="J27">
            <v>0</v>
          </cell>
          <cell r="L27">
            <v>0</v>
          </cell>
          <cell r="M27">
            <v>0</v>
          </cell>
          <cell r="N27">
            <v>0</v>
          </cell>
          <cell r="O27">
            <v>0</v>
          </cell>
          <cell r="P27">
            <v>0</v>
          </cell>
          <cell r="Q27">
            <v>0</v>
          </cell>
          <cell r="R27">
            <v>0</v>
          </cell>
          <cell r="S27">
            <v>0</v>
          </cell>
          <cell r="T27" t="str">
            <v xml:space="preserve"> </v>
          </cell>
          <cell r="U27" t="str">
            <v xml:space="preserve"> </v>
          </cell>
        </row>
        <row r="28">
          <cell r="A28">
            <v>23</v>
          </cell>
          <cell r="B28">
            <v>32</v>
          </cell>
          <cell r="E28" t="str">
            <v xml:space="preserve"> </v>
          </cell>
          <cell r="F28">
            <v>0</v>
          </cell>
          <cell r="G28">
            <v>0</v>
          </cell>
          <cell r="H28">
            <v>0</v>
          </cell>
          <cell r="I28">
            <v>0</v>
          </cell>
          <cell r="J28">
            <v>0</v>
          </cell>
          <cell r="L28">
            <v>0</v>
          </cell>
          <cell r="M28">
            <v>0</v>
          </cell>
          <cell r="N28">
            <v>0</v>
          </cell>
          <cell r="O28">
            <v>0</v>
          </cell>
          <cell r="P28">
            <v>0</v>
          </cell>
          <cell r="Q28">
            <v>0</v>
          </cell>
          <cell r="R28">
            <v>0</v>
          </cell>
          <cell r="S28">
            <v>0</v>
          </cell>
          <cell r="T28" t="str">
            <v xml:space="preserve"> </v>
          </cell>
          <cell r="U28" t="str">
            <v xml:space="preserve"> </v>
          </cell>
        </row>
        <row r="29">
          <cell r="A29">
            <v>24</v>
          </cell>
          <cell r="B29">
            <v>34</v>
          </cell>
          <cell r="E29" t="str">
            <v xml:space="preserve"> </v>
          </cell>
          <cell r="F29">
            <v>0</v>
          </cell>
          <cell r="G29">
            <v>0</v>
          </cell>
          <cell r="H29">
            <v>0</v>
          </cell>
          <cell r="I29">
            <v>0</v>
          </cell>
          <cell r="J29">
            <v>0</v>
          </cell>
          <cell r="L29">
            <v>0</v>
          </cell>
          <cell r="M29">
            <v>0</v>
          </cell>
          <cell r="N29">
            <v>0</v>
          </cell>
          <cell r="O29">
            <v>0</v>
          </cell>
          <cell r="P29">
            <v>0</v>
          </cell>
          <cell r="Q29">
            <v>0</v>
          </cell>
          <cell r="R29">
            <v>0</v>
          </cell>
          <cell r="S29">
            <v>0</v>
          </cell>
          <cell r="T29" t="str">
            <v xml:space="preserve"> </v>
          </cell>
          <cell r="U29" t="str">
            <v xml:space="preserve"> </v>
          </cell>
        </row>
        <row r="30">
          <cell r="A30">
            <v>25</v>
          </cell>
          <cell r="B30">
            <v>36</v>
          </cell>
          <cell r="E30" t="str">
            <v xml:space="preserve"> </v>
          </cell>
          <cell r="F30">
            <v>0</v>
          </cell>
          <cell r="G30">
            <v>0</v>
          </cell>
          <cell r="H30">
            <v>0</v>
          </cell>
          <cell r="I30">
            <v>0</v>
          </cell>
          <cell r="J30">
            <v>0</v>
          </cell>
          <cell r="L30">
            <v>0</v>
          </cell>
          <cell r="M30">
            <v>0</v>
          </cell>
          <cell r="N30">
            <v>0</v>
          </cell>
          <cell r="O30">
            <v>0</v>
          </cell>
          <cell r="P30">
            <v>0</v>
          </cell>
          <cell r="Q30">
            <v>0</v>
          </cell>
          <cell r="R30">
            <v>0</v>
          </cell>
          <cell r="S30">
            <v>0</v>
          </cell>
          <cell r="T30" t="str">
            <v xml:space="preserve"> </v>
          </cell>
          <cell r="U30" t="str">
            <v xml:space="preserve"> </v>
          </cell>
        </row>
        <row r="31">
          <cell r="A31">
            <v>26</v>
          </cell>
          <cell r="B31">
            <v>38</v>
          </cell>
          <cell r="E31" t="str">
            <v xml:space="preserve"> </v>
          </cell>
          <cell r="F31">
            <v>0</v>
          </cell>
          <cell r="G31">
            <v>0</v>
          </cell>
          <cell r="H31">
            <v>0</v>
          </cell>
          <cell r="I31">
            <v>0</v>
          </cell>
          <cell r="J31">
            <v>0</v>
          </cell>
          <cell r="L31">
            <v>0</v>
          </cell>
          <cell r="M31">
            <v>0</v>
          </cell>
          <cell r="N31">
            <v>0</v>
          </cell>
          <cell r="O31">
            <v>0</v>
          </cell>
          <cell r="P31">
            <v>0</v>
          </cell>
          <cell r="Q31">
            <v>0</v>
          </cell>
          <cell r="R31">
            <v>0</v>
          </cell>
          <cell r="S31">
            <v>0</v>
          </cell>
          <cell r="T31" t="str">
            <v xml:space="preserve"> </v>
          </cell>
          <cell r="U31" t="str">
            <v xml:space="preserve"> </v>
          </cell>
        </row>
        <row r="32">
          <cell r="A32">
            <v>27</v>
          </cell>
          <cell r="B32">
            <v>40</v>
          </cell>
          <cell r="E32" t="str">
            <v xml:space="preserve"> </v>
          </cell>
          <cell r="F32">
            <v>0</v>
          </cell>
          <cell r="G32">
            <v>0</v>
          </cell>
          <cell r="H32">
            <v>0</v>
          </cell>
          <cell r="I32">
            <v>0</v>
          </cell>
          <cell r="J32">
            <v>0</v>
          </cell>
          <cell r="L32">
            <v>0</v>
          </cell>
          <cell r="M32">
            <v>0</v>
          </cell>
          <cell r="N32">
            <v>0</v>
          </cell>
          <cell r="O32">
            <v>0</v>
          </cell>
          <cell r="P32">
            <v>0</v>
          </cell>
          <cell r="Q32">
            <v>0</v>
          </cell>
          <cell r="R32">
            <v>0</v>
          </cell>
          <cell r="S32">
            <v>0</v>
          </cell>
          <cell r="T32" t="str">
            <v xml:space="preserve"> </v>
          </cell>
          <cell r="U32" t="str">
            <v xml:space="preserve"> </v>
          </cell>
        </row>
        <row r="33">
          <cell r="A33">
            <v>28</v>
          </cell>
          <cell r="B33">
            <v>42</v>
          </cell>
          <cell r="E33" t="str">
            <v xml:space="preserve"> </v>
          </cell>
          <cell r="F33">
            <v>0</v>
          </cell>
          <cell r="G33">
            <v>0</v>
          </cell>
          <cell r="H33">
            <v>0</v>
          </cell>
          <cell r="I33">
            <v>0</v>
          </cell>
          <cell r="J33">
            <v>0</v>
          </cell>
          <cell r="L33">
            <v>0</v>
          </cell>
          <cell r="M33">
            <v>0</v>
          </cell>
          <cell r="N33">
            <v>0</v>
          </cell>
          <cell r="O33">
            <v>0</v>
          </cell>
          <cell r="P33">
            <v>0</v>
          </cell>
          <cell r="Q33">
            <v>0</v>
          </cell>
          <cell r="R33">
            <v>0</v>
          </cell>
          <cell r="S33">
            <v>0</v>
          </cell>
          <cell r="T33" t="str">
            <v xml:space="preserve"> </v>
          </cell>
          <cell r="U33" t="str">
            <v xml:space="preserve"> </v>
          </cell>
        </row>
        <row r="34">
          <cell r="A34">
            <v>29</v>
          </cell>
          <cell r="B34">
            <v>44</v>
          </cell>
          <cell r="E34" t="str">
            <v xml:space="preserve"> </v>
          </cell>
          <cell r="F34">
            <v>0</v>
          </cell>
          <cell r="G34">
            <v>0</v>
          </cell>
          <cell r="H34">
            <v>0</v>
          </cell>
          <cell r="I34">
            <v>0</v>
          </cell>
          <cell r="J34">
            <v>0</v>
          </cell>
          <cell r="L34">
            <v>0</v>
          </cell>
          <cell r="M34">
            <v>0</v>
          </cell>
          <cell r="N34">
            <v>0</v>
          </cell>
          <cell r="O34">
            <v>0</v>
          </cell>
          <cell r="P34">
            <v>0</v>
          </cell>
          <cell r="Q34">
            <v>0</v>
          </cell>
          <cell r="R34">
            <v>0</v>
          </cell>
          <cell r="S34">
            <v>0</v>
          </cell>
          <cell r="T34" t="str">
            <v xml:space="preserve"> </v>
          </cell>
          <cell r="U34" t="str">
            <v xml:space="preserve"> </v>
          </cell>
        </row>
        <row r="35">
          <cell r="A35">
            <v>30</v>
          </cell>
          <cell r="B35">
            <v>46</v>
          </cell>
          <cell r="E35" t="str">
            <v xml:space="preserve"> </v>
          </cell>
          <cell r="F35">
            <v>0</v>
          </cell>
          <cell r="G35">
            <v>0</v>
          </cell>
          <cell r="H35">
            <v>0</v>
          </cell>
          <cell r="I35">
            <v>0</v>
          </cell>
          <cell r="J35">
            <v>0</v>
          </cell>
          <cell r="L35">
            <v>0</v>
          </cell>
          <cell r="M35">
            <v>0</v>
          </cell>
          <cell r="N35">
            <v>0</v>
          </cell>
          <cell r="O35">
            <v>0</v>
          </cell>
          <cell r="P35">
            <v>0</v>
          </cell>
          <cell r="Q35">
            <v>0</v>
          </cell>
          <cell r="R35">
            <v>0</v>
          </cell>
          <cell r="S35">
            <v>0</v>
          </cell>
          <cell r="T35" t="str">
            <v xml:space="preserve"> </v>
          </cell>
          <cell r="U35" t="str">
            <v xml:space="preserve"> </v>
          </cell>
        </row>
        <row r="36">
          <cell r="A36">
            <v>31</v>
          </cell>
          <cell r="B36">
            <v>48</v>
          </cell>
          <cell r="E36" t="str">
            <v xml:space="preserve"> </v>
          </cell>
          <cell r="F36">
            <v>0</v>
          </cell>
          <cell r="G36">
            <v>0</v>
          </cell>
          <cell r="H36">
            <v>0</v>
          </cell>
          <cell r="I36">
            <v>0</v>
          </cell>
          <cell r="J36">
            <v>0</v>
          </cell>
          <cell r="L36">
            <v>0</v>
          </cell>
          <cell r="M36">
            <v>0</v>
          </cell>
          <cell r="N36">
            <v>0</v>
          </cell>
          <cell r="O36">
            <v>0</v>
          </cell>
          <cell r="P36">
            <v>0</v>
          </cell>
          <cell r="Q36">
            <v>0</v>
          </cell>
          <cell r="R36">
            <v>0</v>
          </cell>
          <cell r="S36">
            <v>0</v>
          </cell>
          <cell r="T36" t="str">
            <v xml:space="preserve"> </v>
          </cell>
          <cell r="U36" t="str">
            <v xml:space="preserve"> </v>
          </cell>
        </row>
        <row r="37">
          <cell r="A37">
            <v>32</v>
          </cell>
          <cell r="B37">
            <v>52</v>
          </cell>
          <cell r="E37" t="str">
            <v xml:space="preserve"> </v>
          </cell>
          <cell r="F37">
            <v>0</v>
          </cell>
          <cell r="G37">
            <v>0</v>
          </cell>
          <cell r="H37">
            <v>0</v>
          </cell>
          <cell r="I37">
            <v>0</v>
          </cell>
          <cell r="J37">
            <v>0</v>
          </cell>
          <cell r="L37">
            <v>0</v>
          </cell>
          <cell r="M37">
            <v>0</v>
          </cell>
          <cell r="N37">
            <v>0</v>
          </cell>
          <cell r="O37">
            <v>0</v>
          </cell>
          <cell r="P37">
            <v>0</v>
          </cell>
          <cell r="Q37">
            <v>0</v>
          </cell>
          <cell r="R37">
            <v>0</v>
          </cell>
          <cell r="S37">
            <v>0</v>
          </cell>
          <cell r="T37" t="str">
            <v xml:space="preserve"> </v>
          </cell>
          <cell r="U37" t="str">
            <v xml:space="preserve"> </v>
          </cell>
        </row>
        <row r="38">
          <cell r="A38">
            <v>33</v>
          </cell>
          <cell r="B38">
            <v>56</v>
          </cell>
          <cell r="E38" t="str">
            <v xml:space="preserve"> </v>
          </cell>
          <cell r="F38">
            <v>0</v>
          </cell>
          <cell r="G38">
            <v>0</v>
          </cell>
          <cell r="H38">
            <v>0</v>
          </cell>
          <cell r="I38">
            <v>0</v>
          </cell>
          <cell r="J38">
            <v>0</v>
          </cell>
          <cell r="L38">
            <v>0</v>
          </cell>
          <cell r="M38">
            <v>0</v>
          </cell>
          <cell r="N38">
            <v>0</v>
          </cell>
          <cell r="O38">
            <v>0</v>
          </cell>
          <cell r="P38">
            <v>0</v>
          </cell>
          <cell r="Q38">
            <v>0</v>
          </cell>
          <cell r="R38">
            <v>0</v>
          </cell>
          <cell r="S38">
            <v>0</v>
          </cell>
          <cell r="T38" t="str">
            <v xml:space="preserve"> </v>
          </cell>
          <cell r="U38" t="str">
            <v xml:space="preserve"> </v>
          </cell>
        </row>
        <row r="39">
          <cell r="A39">
            <v>34</v>
          </cell>
          <cell r="B39">
            <v>60</v>
          </cell>
          <cell r="E39" t="str">
            <v xml:space="preserve"> </v>
          </cell>
          <cell r="F39">
            <v>0</v>
          </cell>
          <cell r="G39">
            <v>0</v>
          </cell>
          <cell r="H39">
            <v>0</v>
          </cell>
          <cell r="I39">
            <v>0</v>
          </cell>
          <cell r="J39">
            <v>0</v>
          </cell>
          <cell r="L39">
            <v>0</v>
          </cell>
          <cell r="M39">
            <v>0</v>
          </cell>
          <cell r="N39">
            <v>0</v>
          </cell>
          <cell r="O39">
            <v>0</v>
          </cell>
          <cell r="P39">
            <v>0</v>
          </cell>
          <cell r="Q39">
            <v>0</v>
          </cell>
          <cell r="R39">
            <v>0</v>
          </cell>
          <cell r="S39">
            <v>0</v>
          </cell>
          <cell r="T39" t="str">
            <v xml:space="preserve"> </v>
          </cell>
          <cell r="U39" t="str">
            <v xml:space="preserve"> </v>
          </cell>
        </row>
        <row r="40">
          <cell r="A40">
            <v>35</v>
          </cell>
          <cell r="B40">
            <v>64</v>
          </cell>
          <cell r="E40" t="str">
            <v xml:space="preserve"> </v>
          </cell>
          <cell r="F40">
            <v>0</v>
          </cell>
          <cell r="G40">
            <v>0</v>
          </cell>
          <cell r="H40">
            <v>0</v>
          </cell>
          <cell r="I40">
            <v>0</v>
          </cell>
          <cell r="J40">
            <v>0</v>
          </cell>
          <cell r="L40">
            <v>0</v>
          </cell>
          <cell r="M40">
            <v>0</v>
          </cell>
          <cell r="N40">
            <v>0</v>
          </cell>
          <cell r="O40">
            <v>0</v>
          </cell>
          <cell r="P40">
            <v>0</v>
          </cell>
          <cell r="Q40">
            <v>0</v>
          </cell>
          <cell r="R40">
            <v>0</v>
          </cell>
          <cell r="S40">
            <v>0</v>
          </cell>
          <cell r="T40" t="str">
            <v xml:space="preserve"> </v>
          </cell>
          <cell r="U40" t="str">
            <v xml:space="preserve"> </v>
          </cell>
        </row>
        <row r="41">
          <cell r="A41">
            <v>36</v>
          </cell>
          <cell r="B41">
            <v>68</v>
          </cell>
          <cell r="E41" t="str">
            <v xml:space="preserve"> </v>
          </cell>
          <cell r="F41">
            <v>0</v>
          </cell>
          <cell r="G41">
            <v>0</v>
          </cell>
          <cell r="H41">
            <v>0</v>
          </cell>
          <cell r="I41">
            <v>0</v>
          </cell>
          <cell r="J41">
            <v>0</v>
          </cell>
          <cell r="L41">
            <v>0</v>
          </cell>
          <cell r="M41">
            <v>0</v>
          </cell>
          <cell r="N41">
            <v>0</v>
          </cell>
          <cell r="O41">
            <v>0</v>
          </cell>
          <cell r="P41">
            <v>0</v>
          </cell>
          <cell r="Q41">
            <v>0</v>
          </cell>
          <cell r="R41">
            <v>0</v>
          </cell>
          <cell r="S41">
            <v>0</v>
          </cell>
          <cell r="T41" t="str">
            <v xml:space="preserve"> </v>
          </cell>
          <cell r="U41" t="str">
            <v xml:space="preserve"> </v>
          </cell>
        </row>
        <row r="42">
          <cell r="A42">
            <v>37</v>
          </cell>
          <cell r="B42">
            <v>72</v>
          </cell>
          <cell r="E42" t="str">
            <v xml:space="preserve"> </v>
          </cell>
          <cell r="F42">
            <v>0</v>
          </cell>
          <cell r="G42">
            <v>0</v>
          </cell>
          <cell r="H42">
            <v>0</v>
          </cell>
          <cell r="I42">
            <v>0</v>
          </cell>
          <cell r="J42">
            <v>0</v>
          </cell>
          <cell r="L42">
            <v>0</v>
          </cell>
          <cell r="M42">
            <v>0</v>
          </cell>
          <cell r="N42">
            <v>0</v>
          </cell>
          <cell r="O42">
            <v>0</v>
          </cell>
          <cell r="P42">
            <v>0</v>
          </cell>
          <cell r="Q42">
            <v>0</v>
          </cell>
          <cell r="R42">
            <v>0</v>
          </cell>
          <cell r="S42">
            <v>0</v>
          </cell>
          <cell r="T42" t="str">
            <v xml:space="preserve"> </v>
          </cell>
          <cell r="U42" t="str">
            <v xml:space="preserve"> </v>
          </cell>
        </row>
        <row r="43">
          <cell r="A43">
            <v>38</v>
          </cell>
          <cell r="B43">
            <v>76</v>
          </cell>
          <cell r="E43" t="str">
            <v xml:space="preserve"> </v>
          </cell>
          <cell r="F43">
            <v>0</v>
          </cell>
          <cell r="G43">
            <v>0</v>
          </cell>
          <cell r="H43">
            <v>0</v>
          </cell>
          <cell r="I43">
            <v>0</v>
          </cell>
          <cell r="J43">
            <v>0</v>
          </cell>
          <cell r="L43">
            <v>0</v>
          </cell>
          <cell r="M43">
            <v>0</v>
          </cell>
          <cell r="N43">
            <v>0</v>
          </cell>
          <cell r="O43">
            <v>0</v>
          </cell>
          <cell r="P43">
            <v>0</v>
          </cell>
          <cell r="Q43">
            <v>0</v>
          </cell>
          <cell r="R43">
            <v>0</v>
          </cell>
          <cell r="S43">
            <v>0</v>
          </cell>
          <cell r="T43" t="str">
            <v xml:space="preserve"> </v>
          </cell>
          <cell r="U43" t="str">
            <v xml:space="preserve"> </v>
          </cell>
        </row>
        <row r="44">
          <cell r="A44">
            <v>39</v>
          </cell>
          <cell r="B44">
            <v>80</v>
          </cell>
          <cell r="E44" t="str">
            <v xml:space="preserve"> </v>
          </cell>
          <cell r="F44">
            <v>0</v>
          </cell>
          <cell r="G44">
            <v>0</v>
          </cell>
          <cell r="H44">
            <v>0</v>
          </cell>
          <cell r="I44">
            <v>0</v>
          </cell>
          <cell r="J44">
            <v>0</v>
          </cell>
          <cell r="L44">
            <v>0</v>
          </cell>
          <cell r="M44">
            <v>0</v>
          </cell>
          <cell r="N44">
            <v>0</v>
          </cell>
          <cell r="O44">
            <v>0</v>
          </cell>
          <cell r="P44">
            <v>0</v>
          </cell>
          <cell r="Q44">
            <v>0</v>
          </cell>
          <cell r="R44">
            <v>0</v>
          </cell>
          <cell r="S44">
            <v>0</v>
          </cell>
          <cell r="T44" t="str">
            <v xml:space="preserve"> </v>
          </cell>
          <cell r="U44" t="str">
            <v xml:space="preserve"> </v>
          </cell>
        </row>
        <row r="45">
          <cell r="A45" t="str">
            <v>AVE.</v>
          </cell>
          <cell r="B45" t="str">
            <v xml:space="preserve"> </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t="str">
            <v xml:space="preserve"> </v>
          </cell>
          <cell r="U45" t="str">
            <v xml:space="preserve"> </v>
          </cell>
        </row>
        <row r="47">
          <cell r="A47" t="str">
            <v>*** Reference Paper : Predict Fittings For Piping Systems ***</v>
          </cell>
          <cell r="K47" t="str">
            <v>Fc = 0.25  Utility Supply Lines, OSBL</v>
          </cell>
          <cell r="R47" t="str">
            <v>Fc = 2.00  Manifold Type Piping</v>
          </cell>
        </row>
        <row r="48">
          <cell r="D48" t="str">
            <v xml:space="preserve">   By William B. Hooper , Monsanto Co.</v>
          </cell>
          <cell r="K48" t="str">
            <v xml:space="preserve">        (PIPE JOINT FACTOR Fp = 100%)</v>
          </cell>
          <cell r="R48" t="str">
            <v xml:space="preserve">        (PIPE JOINT FACTOR Fp = 0%)</v>
          </cell>
        </row>
        <row r="49">
          <cell r="K49" t="str">
            <v>Fc = 0.50  Long, Straight Piping Run</v>
          </cell>
          <cell r="R49" t="str">
            <v>Fc = 4.00  Very Complex Manifolds</v>
          </cell>
        </row>
        <row r="50">
          <cell r="A50" t="str">
            <v>The number and types of pipe fittings can be estimated by this method</v>
          </cell>
          <cell r="K50" t="str">
            <v xml:space="preserve">        (PIPE JOINT FACTOR Fp = 100%)</v>
          </cell>
          <cell r="R50" t="str">
            <v xml:space="preserve">        (PIPE JOINT FACTOR Fp = 0%)</v>
          </cell>
        </row>
        <row r="51">
          <cell r="A51" t="str">
            <v>long before the piping isometrics are done. Pipe size and a general idea</v>
          </cell>
          <cell r="K51" t="str">
            <v>Fc = 1.00  Normal Piping</v>
          </cell>
        </row>
        <row r="52">
          <cell r="A52" t="str">
            <v>of the system's complexity are all that is needed.</v>
          </cell>
          <cell r="K52" t="str">
            <v xml:space="preserve">        (PIPE JOINT FACTOR Fp = 10%)</v>
          </cell>
        </row>
      </sheetData>
      <sheetData sheetId="3" refreshError="1">
        <row r="8">
          <cell r="B8" t="str">
            <v>5S</v>
          </cell>
          <cell r="C8">
            <v>0.5</v>
          </cell>
          <cell r="D8">
            <v>1.65</v>
          </cell>
          <cell r="E8">
            <v>1</v>
          </cell>
          <cell r="I8">
            <v>7.0000000000000007E-2</v>
          </cell>
          <cell r="J8">
            <v>0</v>
          </cell>
          <cell r="K8">
            <v>7.0000000000000007E-2</v>
          </cell>
          <cell r="P8">
            <v>2</v>
          </cell>
        </row>
        <row r="9">
          <cell r="B9" t="str">
            <v>5S</v>
          </cell>
          <cell r="C9">
            <v>0.5</v>
          </cell>
          <cell r="D9">
            <v>1.65</v>
          </cell>
          <cell r="E9">
            <v>1</v>
          </cell>
          <cell r="I9">
            <v>7.0000000000000007E-2</v>
          </cell>
          <cell r="J9">
            <v>0</v>
          </cell>
          <cell r="K9">
            <v>7.0000000000000007E-2</v>
          </cell>
          <cell r="P9">
            <v>2</v>
          </cell>
        </row>
        <row r="10">
          <cell r="B10" t="str">
            <v>5S</v>
          </cell>
          <cell r="C10">
            <v>0.5</v>
          </cell>
          <cell r="D10">
            <v>1.65</v>
          </cell>
          <cell r="E10">
            <v>1</v>
          </cell>
          <cell r="I10">
            <v>7.0000000000000007E-2</v>
          </cell>
          <cell r="J10">
            <v>0</v>
          </cell>
          <cell r="K10">
            <v>7.0000000000000007E-2</v>
          </cell>
          <cell r="P10">
            <v>2</v>
          </cell>
        </row>
        <row r="11">
          <cell r="B11" t="str">
            <v>5S</v>
          </cell>
          <cell r="C11">
            <v>0.75</v>
          </cell>
          <cell r="D11">
            <v>1.65</v>
          </cell>
          <cell r="E11">
            <v>1</v>
          </cell>
          <cell r="I11">
            <v>7.0000000000000007E-2</v>
          </cell>
          <cell r="J11">
            <v>0</v>
          </cell>
          <cell r="K11">
            <v>7.0000000000000007E-2</v>
          </cell>
          <cell r="P11">
            <v>2</v>
          </cell>
        </row>
        <row r="12">
          <cell r="B12" t="str">
            <v>5S</v>
          </cell>
          <cell r="C12">
            <v>0.75</v>
          </cell>
          <cell r="D12">
            <v>1.65</v>
          </cell>
          <cell r="E12">
            <v>1</v>
          </cell>
          <cell r="I12">
            <v>7.0000000000000007E-2</v>
          </cell>
          <cell r="J12">
            <v>0</v>
          </cell>
          <cell r="K12">
            <v>7.0000000000000007E-2</v>
          </cell>
          <cell r="P12">
            <v>2</v>
          </cell>
        </row>
        <row r="13">
          <cell r="B13" t="str">
            <v>5S</v>
          </cell>
          <cell r="C13">
            <v>0.75</v>
          </cell>
          <cell r="D13">
            <v>1.65</v>
          </cell>
          <cell r="E13">
            <v>1</v>
          </cell>
          <cell r="I13">
            <v>7.0000000000000007E-2</v>
          </cell>
          <cell r="J13">
            <v>0</v>
          </cell>
          <cell r="K13">
            <v>7.0000000000000007E-2</v>
          </cell>
          <cell r="P13">
            <v>2</v>
          </cell>
        </row>
        <row r="14">
          <cell r="B14" t="str">
            <v>5S</v>
          </cell>
          <cell r="C14">
            <v>1</v>
          </cell>
          <cell r="D14">
            <v>1.65</v>
          </cell>
          <cell r="E14">
            <v>1</v>
          </cell>
          <cell r="I14">
            <v>0.12</v>
          </cell>
          <cell r="J14">
            <v>0</v>
          </cell>
          <cell r="K14">
            <v>0.12</v>
          </cell>
          <cell r="P14">
            <v>2</v>
          </cell>
        </row>
        <row r="15">
          <cell r="B15" t="str">
            <v>5S</v>
          </cell>
          <cell r="C15">
            <v>1</v>
          </cell>
          <cell r="D15">
            <v>1.65</v>
          </cell>
          <cell r="E15">
            <v>1</v>
          </cell>
          <cell r="I15">
            <v>0.12</v>
          </cell>
          <cell r="J15">
            <v>0</v>
          </cell>
          <cell r="K15">
            <v>0.12</v>
          </cell>
          <cell r="P15">
            <v>2</v>
          </cell>
        </row>
        <row r="16">
          <cell r="B16" t="str">
            <v>5S</v>
          </cell>
          <cell r="C16">
            <v>1</v>
          </cell>
          <cell r="D16">
            <v>1.65</v>
          </cell>
          <cell r="E16">
            <v>1</v>
          </cell>
          <cell r="I16">
            <v>0.12</v>
          </cell>
          <cell r="J16">
            <v>0</v>
          </cell>
          <cell r="K16">
            <v>0.12</v>
          </cell>
          <cell r="P16">
            <v>2</v>
          </cell>
        </row>
        <row r="17">
          <cell r="B17" t="str">
            <v>5S</v>
          </cell>
          <cell r="C17">
            <v>1.25</v>
          </cell>
          <cell r="D17">
            <v>1.65</v>
          </cell>
          <cell r="E17">
            <v>1</v>
          </cell>
          <cell r="I17">
            <v>0.15</v>
          </cell>
          <cell r="K17">
            <v>0.15</v>
          </cell>
          <cell r="P17">
            <v>2</v>
          </cell>
        </row>
        <row r="18">
          <cell r="B18" t="str">
            <v>5S</v>
          </cell>
          <cell r="C18">
            <v>1.25</v>
          </cell>
          <cell r="D18">
            <v>1.65</v>
          </cell>
          <cell r="E18">
            <v>1</v>
          </cell>
          <cell r="I18">
            <v>0.15</v>
          </cell>
          <cell r="K18">
            <v>0.15</v>
          </cell>
          <cell r="P18">
            <v>2</v>
          </cell>
        </row>
        <row r="19">
          <cell r="B19" t="str">
            <v>5S</v>
          </cell>
          <cell r="C19">
            <v>1.25</v>
          </cell>
          <cell r="D19">
            <v>1.65</v>
          </cell>
          <cell r="E19">
            <v>1</v>
          </cell>
          <cell r="I19">
            <v>0.15</v>
          </cell>
          <cell r="K19">
            <v>0.15</v>
          </cell>
          <cell r="P19">
            <v>2</v>
          </cell>
        </row>
        <row r="20">
          <cell r="B20" t="str">
            <v>5S</v>
          </cell>
          <cell r="C20">
            <v>1.5</v>
          </cell>
          <cell r="D20">
            <v>1.65</v>
          </cell>
          <cell r="E20">
            <v>1</v>
          </cell>
          <cell r="I20">
            <v>0.15</v>
          </cell>
          <cell r="J20">
            <v>0</v>
          </cell>
          <cell r="K20">
            <v>0.15</v>
          </cell>
          <cell r="P20">
            <v>2</v>
          </cell>
        </row>
        <row r="21">
          <cell r="B21" t="str">
            <v>5S</v>
          </cell>
          <cell r="C21">
            <v>1.5</v>
          </cell>
          <cell r="D21">
            <v>1.65</v>
          </cell>
          <cell r="E21">
            <v>1</v>
          </cell>
          <cell r="I21">
            <v>0.15</v>
          </cell>
          <cell r="J21">
            <v>0</v>
          </cell>
          <cell r="K21">
            <v>0.15</v>
          </cell>
          <cell r="P21">
            <v>2</v>
          </cell>
        </row>
        <row r="22">
          <cell r="B22" t="str">
            <v>5S</v>
          </cell>
          <cell r="C22">
            <v>1.5</v>
          </cell>
          <cell r="D22">
            <v>1.65</v>
          </cell>
          <cell r="E22">
            <v>1</v>
          </cell>
          <cell r="I22">
            <v>0.15</v>
          </cell>
          <cell r="J22">
            <v>0</v>
          </cell>
          <cell r="K22">
            <v>0.15</v>
          </cell>
          <cell r="P22">
            <v>2</v>
          </cell>
        </row>
        <row r="23">
          <cell r="B23" t="str">
            <v>5S</v>
          </cell>
          <cell r="C23">
            <v>2</v>
          </cell>
          <cell r="D23">
            <v>1.65</v>
          </cell>
          <cell r="E23">
            <v>1</v>
          </cell>
          <cell r="I23">
            <v>0.15</v>
          </cell>
          <cell r="J23">
            <v>0</v>
          </cell>
          <cell r="K23">
            <v>0.15</v>
          </cell>
          <cell r="P23">
            <v>2</v>
          </cell>
        </row>
        <row r="24">
          <cell r="B24" t="str">
            <v>5S</v>
          </cell>
          <cell r="C24">
            <v>2</v>
          </cell>
          <cell r="D24">
            <v>1.65</v>
          </cell>
          <cell r="E24">
            <v>1</v>
          </cell>
          <cell r="I24">
            <v>0.15</v>
          </cell>
          <cell r="J24">
            <v>0</v>
          </cell>
          <cell r="K24">
            <v>0.15</v>
          </cell>
          <cell r="P24">
            <v>2</v>
          </cell>
        </row>
        <row r="25">
          <cell r="B25" t="str">
            <v>5S</v>
          </cell>
          <cell r="C25">
            <v>2</v>
          </cell>
          <cell r="D25">
            <v>1.65</v>
          </cell>
          <cell r="E25">
            <v>1</v>
          </cell>
          <cell r="I25">
            <v>0.15</v>
          </cell>
          <cell r="J25">
            <v>0</v>
          </cell>
          <cell r="K25">
            <v>0.15</v>
          </cell>
          <cell r="P25">
            <v>2</v>
          </cell>
        </row>
        <row r="26">
          <cell r="B26" t="str">
            <v>5S</v>
          </cell>
          <cell r="C26">
            <v>2.5</v>
          </cell>
          <cell r="D26">
            <v>2.11</v>
          </cell>
          <cell r="E26">
            <v>1</v>
          </cell>
          <cell r="I26">
            <v>0.15</v>
          </cell>
          <cell r="J26">
            <v>0</v>
          </cell>
          <cell r="K26">
            <v>0.15</v>
          </cell>
          <cell r="P26">
            <v>2</v>
          </cell>
        </row>
        <row r="27">
          <cell r="B27" t="str">
            <v>5S</v>
          </cell>
          <cell r="C27">
            <v>3</v>
          </cell>
          <cell r="D27">
            <v>2.11</v>
          </cell>
          <cell r="E27">
            <v>1</v>
          </cell>
          <cell r="I27">
            <v>0.3</v>
          </cell>
          <cell r="J27">
            <v>0</v>
          </cell>
          <cell r="K27">
            <v>0.3</v>
          </cell>
          <cell r="P27">
            <v>2</v>
          </cell>
        </row>
        <row r="28">
          <cell r="B28" t="str">
            <v>5S</v>
          </cell>
          <cell r="C28">
            <v>3.5</v>
          </cell>
          <cell r="D28">
            <v>2.11</v>
          </cell>
          <cell r="E28">
            <v>1</v>
          </cell>
          <cell r="I28">
            <v>0.3</v>
          </cell>
          <cell r="K28">
            <v>0.3</v>
          </cell>
          <cell r="P28">
            <v>3</v>
          </cell>
        </row>
        <row r="29">
          <cell r="B29" t="str">
            <v>5S</v>
          </cell>
          <cell r="C29">
            <v>4</v>
          </cell>
          <cell r="D29">
            <v>2.11</v>
          </cell>
          <cell r="E29">
            <v>1</v>
          </cell>
          <cell r="I29">
            <v>0.3</v>
          </cell>
          <cell r="J29">
            <v>0</v>
          </cell>
          <cell r="K29">
            <v>0.3</v>
          </cell>
          <cell r="P29">
            <v>3</v>
          </cell>
        </row>
        <row r="30">
          <cell r="B30" t="str">
            <v>5S</v>
          </cell>
          <cell r="C30">
            <v>5</v>
          </cell>
          <cell r="D30">
            <v>2.77</v>
          </cell>
          <cell r="E30">
            <v>1</v>
          </cell>
          <cell r="I30">
            <v>0.3</v>
          </cell>
          <cell r="K30">
            <v>0.3</v>
          </cell>
          <cell r="P30">
            <v>4</v>
          </cell>
        </row>
        <row r="31">
          <cell r="B31" t="str">
            <v>5S</v>
          </cell>
          <cell r="C31">
            <v>6</v>
          </cell>
          <cell r="D31">
            <v>2.77</v>
          </cell>
          <cell r="E31">
            <v>1</v>
          </cell>
          <cell r="I31">
            <v>0.45</v>
          </cell>
          <cell r="J31">
            <v>0</v>
          </cell>
          <cell r="K31">
            <v>0.45</v>
          </cell>
          <cell r="P31">
            <v>4</v>
          </cell>
        </row>
        <row r="32">
          <cell r="B32" t="str">
            <v>5S</v>
          </cell>
          <cell r="C32">
            <v>8</v>
          </cell>
          <cell r="D32">
            <v>2.77</v>
          </cell>
          <cell r="E32">
            <v>1</v>
          </cell>
          <cell r="I32">
            <v>0.45</v>
          </cell>
          <cell r="J32">
            <v>0</v>
          </cell>
          <cell r="K32">
            <v>0.45</v>
          </cell>
          <cell r="P32">
            <v>4</v>
          </cell>
        </row>
        <row r="33">
          <cell r="B33" t="str">
            <v>5S</v>
          </cell>
          <cell r="C33">
            <v>10</v>
          </cell>
          <cell r="D33">
            <v>3.4</v>
          </cell>
          <cell r="E33">
            <v>1</v>
          </cell>
          <cell r="I33">
            <v>0.9</v>
          </cell>
          <cell r="J33">
            <v>0</v>
          </cell>
          <cell r="K33">
            <v>0.9</v>
          </cell>
          <cell r="P33">
            <v>4</v>
          </cell>
        </row>
        <row r="34">
          <cell r="B34" t="str">
            <v>5S</v>
          </cell>
          <cell r="C34">
            <v>12</v>
          </cell>
          <cell r="D34">
            <v>3.96</v>
          </cell>
          <cell r="E34">
            <v>1</v>
          </cell>
          <cell r="I34">
            <v>1.2</v>
          </cell>
          <cell r="J34">
            <v>0</v>
          </cell>
          <cell r="K34">
            <v>1.2</v>
          </cell>
          <cell r="P34">
            <v>6</v>
          </cell>
        </row>
        <row r="35">
          <cell r="B35" t="str">
            <v>5S</v>
          </cell>
          <cell r="C35">
            <v>14</v>
          </cell>
          <cell r="D35">
            <v>3.96</v>
          </cell>
          <cell r="E35">
            <v>1</v>
          </cell>
          <cell r="I35">
            <v>1.34</v>
          </cell>
          <cell r="J35">
            <v>0</v>
          </cell>
          <cell r="K35">
            <v>1.34</v>
          </cell>
          <cell r="P35">
            <v>6</v>
          </cell>
        </row>
        <row r="36">
          <cell r="B36" t="str">
            <v>5S</v>
          </cell>
          <cell r="C36">
            <v>16</v>
          </cell>
          <cell r="D36">
            <v>4.1900000000000004</v>
          </cell>
          <cell r="E36">
            <v>1</v>
          </cell>
          <cell r="I36">
            <v>1.65</v>
          </cell>
          <cell r="J36">
            <v>0</v>
          </cell>
          <cell r="K36">
            <v>1.65</v>
          </cell>
          <cell r="P36">
            <v>6</v>
          </cell>
        </row>
        <row r="37">
          <cell r="B37" t="str">
            <v>5S</v>
          </cell>
          <cell r="C37">
            <v>18</v>
          </cell>
          <cell r="D37">
            <v>4.1900000000000004</v>
          </cell>
          <cell r="E37">
            <v>1</v>
          </cell>
          <cell r="I37">
            <v>1.8</v>
          </cell>
          <cell r="J37">
            <v>0</v>
          </cell>
          <cell r="K37">
            <v>1.8</v>
          </cell>
          <cell r="P37">
            <v>6</v>
          </cell>
        </row>
        <row r="38">
          <cell r="B38" t="str">
            <v>5S</v>
          </cell>
          <cell r="C38">
            <v>20</v>
          </cell>
          <cell r="D38">
            <v>4.78</v>
          </cell>
          <cell r="E38">
            <v>1</v>
          </cell>
          <cell r="I38">
            <v>2.54</v>
          </cell>
          <cell r="J38">
            <v>0</v>
          </cell>
          <cell r="K38">
            <v>2.54</v>
          </cell>
          <cell r="P38">
            <v>7</v>
          </cell>
        </row>
        <row r="39">
          <cell r="B39" t="str">
            <v>5S</v>
          </cell>
          <cell r="C39">
            <v>22</v>
          </cell>
          <cell r="D39">
            <v>4.78</v>
          </cell>
          <cell r="E39">
            <v>1</v>
          </cell>
          <cell r="I39">
            <v>2.69</v>
          </cell>
          <cell r="J39">
            <v>0</v>
          </cell>
          <cell r="K39">
            <v>2.69</v>
          </cell>
          <cell r="P39">
            <v>8</v>
          </cell>
        </row>
        <row r="40">
          <cell r="B40" t="str">
            <v>5S</v>
          </cell>
          <cell r="C40">
            <v>24</v>
          </cell>
          <cell r="D40">
            <v>5.54</v>
          </cell>
          <cell r="E40">
            <v>1</v>
          </cell>
          <cell r="I40">
            <v>2.4300000000000002</v>
          </cell>
          <cell r="J40">
            <v>1.47</v>
          </cell>
          <cell r="K40">
            <v>3.9000000000000004</v>
          </cell>
          <cell r="P40">
            <v>8</v>
          </cell>
        </row>
        <row r="41">
          <cell r="B41" t="str">
            <v>5S</v>
          </cell>
          <cell r="C41">
            <v>30</v>
          </cell>
          <cell r="D41">
            <v>6.35</v>
          </cell>
          <cell r="E41">
            <v>1</v>
          </cell>
          <cell r="I41">
            <v>3.04</v>
          </cell>
          <cell r="J41">
            <v>3.11</v>
          </cell>
          <cell r="K41">
            <v>6.15</v>
          </cell>
          <cell r="P41">
            <v>10</v>
          </cell>
        </row>
        <row r="42">
          <cell r="B42">
            <v>10</v>
          </cell>
          <cell r="C42">
            <v>14</v>
          </cell>
          <cell r="D42">
            <v>6.35</v>
          </cell>
          <cell r="E42">
            <v>1</v>
          </cell>
          <cell r="I42">
            <v>1.42</v>
          </cell>
          <cell r="J42">
            <v>1.27</v>
          </cell>
          <cell r="K42">
            <v>2.69</v>
          </cell>
          <cell r="P42">
            <v>6</v>
          </cell>
        </row>
        <row r="43">
          <cell r="B43">
            <v>10</v>
          </cell>
          <cell r="C43">
            <v>16</v>
          </cell>
          <cell r="D43">
            <v>6.35</v>
          </cell>
          <cell r="E43">
            <v>1</v>
          </cell>
          <cell r="I43">
            <v>1.62</v>
          </cell>
          <cell r="J43">
            <v>1.38</v>
          </cell>
          <cell r="K43">
            <v>3</v>
          </cell>
          <cell r="P43">
            <v>6</v>
          </cell>
        </row>
        <row r="44">
          <cell r="B44">
            <v>10</v>
          </cell>
          <cell r="C44">
            <v>18</v>
          </cell>
          <cell r="D44">
            <v>6.35</v>
          </cell>
          <cell r="E44">
            <v>1</v>
          </cell>
          <cell r="I44">
            <v>1.82</v>
          </cell>
          <cell r="J44">
            <v>1.48</v>
          </cell>
          <cell r="K44">
            <v>3.3</v>
          </cell>
          <cell r="P44">
            <v>6</v>
          </cell>
        </row>
        <row r="45">
          <cell r="B45">
            <v>10</v>
          </cell>
          <cell r="C45">
            <v>20</v>
          </cell>
          <cell r="D45">
            <v>6.35</v>
          </cell>
          <cell r="E45">
            <v>1</v>
          </cell>
          <cell r="I45">
            <v>2.0299999999999998</v>
          </cell>
          <cell r="J45">
            <v>1.72</v>
          </cell>
          <cell r="K45">
            <v>3.75</v>
          </cell>
          <cell r="P45">
            <v>7</v>
          </cell>
        </row>
        <row r="46">
          <cell r="B46">
            <v>10</v>
          </cell>
          <cell r="C46">
            <v>22</v>
          </cell>
          <cell r="D46">
            <v>6.35</v>
          </cell>
          <cell r="E46">
            <v>1</v>
          </cell>
          <cell r="I46">
            <v>2.23</v>
          </cell>
          <cell r="J46">
            <v>2.27</v>
          </cell>
          <cell r="K46">
            <v>4.5</v>
          </cell>
          <cell r="P46">
            <v>8</v>
          </cell>
        </row>
        <row r="47">
          <cell r="B47">
            <v>10</v>
          </cell>
          <cell r="C47">
            <v>24</v>
          </cell>
          <cell r="D47">
            <v>6.35</v>
          </cell>
          <cell r="E47">
            <v>1</v>
          </cell>
          <cell r="I47">
            <v>2.4300000000000002</v>
          </cell>
          <cell r="J47">
            <v>2.0699999999999998</v>
          </cell>
          <cell r="K47">
            <v>4.5</v>
          </cell>
          <cell r="P47">
            <v>8</v>
          </cell>
        </row>
        <row r="48">
          <cell r="B48">
            <v>10</v>
          </cell>
          <cell r="C48">
            <v>26</v>
          </cell>
          <cell r="D48">
            <v>7.92</v>
          </cell>
          <cell r="E48">
            <v>1</v>
          </cell>
          <cell r="I48">
            <v>2.64</v>
          </cell>
          <cell r="J48">
            <v>4.8600000000000003</v>
          </cell>
          <cell r="K48">
            <v>7.5</v>
          </cell>
          <cell r="P48">
            <v>9</v>
          </cell>
        </row>
        <row r="49">
          <cell r="B49">
            <v>10</v>
          </cell>
          <cell r="C49">
            <v>28</v>
          </cell>
          <cell r="D49">
            <v>7.92</v>
          </cell>
          <cell r="E49">
            <v>1</v>
          </cell>
          <cell r="I49">
            <v>2.84</v>
          </cell>
          <cell r="J49">
            <v>5.26</v>
          </cell>
          <cell r="K49">
            <v>8.1</v>
          </cell>
          <cell r="P49">
            <v>9</v>
          </cell>
        </row>
        <row r="50">
          <cell r="B50">
            <v>10</v>
          </cell>
          <cell r="C50">
            <v>30</v>
          </cell>
          <cell r="D50">
            <v>7.92</v>
          </cell>
          <cell r="E50">
            <v>1</v>
          </cell>
          <cell r="I50">
            <v>3.04</v>
          </cell>
          <cell r="J50">
            <v>5.66</v>
          </cell>
          <cell r="K50">
            <v>8.6999999999999993</v>
          </cell>
          <cell r="P50">
            <v>10</v>
          </cell>
        </row>
        <row r="51">
          <cell r="B51">
            <v>10</v>
          </cell>
          <cell r="C51">
            <v>32</v>
          </cell>
          <cell r="D51">
            <v>7.92</v>
          </cell>
          <cell r="E51">
            <v>1</v>
          </cell>
          <cell r="I51">
            <v>3.24</v>
          </cell>
          <cell r="J51">
            <v>6.06</v>
          </cell>
          <cell r="K51">
            <v>9.3000000000000007</v>
          </cell>
          <cell r="P51">
            <v>11</v>
          </cell>
        </row>
        <row r="52">
          <cell r="B52">
            <v>10</v>
          </cell>
          <cell r="C52">
            <v>34</v>
          </cell>
          <cell r="D52">
            <v>7.92</v>
          </cell>
          <cell r="E52">
            <v>1</v>
          </cell>
          <cell r="I52">
            <v>3.45</v>
          </cell>
          <cell r="J52">
            <v>6.44</v>
          </cell>
          <cell r="K52">
            <v>9.89</v>
          </cell>
          <cell r="P52">
            <v>12</v>
          </cell>
        </row>
        <row r="53">
          <cell r="B53">
            <v>10</v>
          </cell>
          <cell r="C53">
            <v>36</v>
          </cell>
          <cell r="D53">
            <v>7.92</v>
          </cell>
          <cell r="E53">
            <v>1</v>
          </cell>
          <cell r="I53">
            <v>3.65</v>
          </cell>
          <cell r="J53">
            <v>6.84</v>
          </cell>
          <cell r="K53">
            <v>10.49</v>
          </cell>
          <cell r="P53">
            <v>12</v>
          </cell>
        </row>
        <row r="54">
          <cell r="B54" t="str">
            <v>10S</v>
          </cell>
          <cell r="C54">
            <v>0.125</v>
          </cell>
          <cell r="D54">
            <v>1.24</v>
          </cell>
          <cell r="E54">
            <v>1</v>
          </cell>
          <cell r="I54">
            <v>7.0000000000000007E-2</v>
          </cell>
          <cell r="K54">
            <v>7.0000000000000007E-2</v>
          </cell>
          <cell r="P54">
            <v>2</v>
          </cell>
        </row>
        <row r="55">
          <cell r="B55" t="str">
            <v>10S</v>
          </cell>
          <cell r="C55">
            <v>0.125</v>
          </cell>
          <cell r="D55">
            <v>1.24</v>
          </cell>
          <cell r="E55">
            <v>1</v>
          </cell>
          <cell r="I55">
            <v>7.0000000000000007E-2</v>
          </cell>
          <cell r="K55">
            <v>7.0000000000000007E-2</v>
          </cell>
          <cell r="P55">
            <v>2</v>
          </cell>
        </row>
        <row r="56">
          <cell r="B56" t="str">
            <v>10S</v>
          </cell>
          <cell r="C56">
            <v>0.125</v>
          </cell>
          <cell r="D56">
            <v>1.24</v>
          </cell>
          <cell r="E56">
            <v>1</v>
          </cell>
          <cell r="I56">
            <v>7.0000000000000007E-2</v>
          </cell>
          <cell r="K56">
            <v>7.0000000000000007E-2</v>
          </cell>
          <cell r="P56">
            <v>2</v>
          </cell>
        </row>
        <row r="57">
          <cell r="B57" t="str">
            <v>10S</v>
          </cell>
          <cell r="C57">
            <v>0.25</v>
          </cell>
          <cell r="D57">
            <v>1.65</v>
          </cell>
          <cell r="E57">
            <v>1</v>
          </cell>
          <cell r="I57">
            <v>7.0000000000000007E-2</v>
          </cell>
          <cell r="K57">
            <v>7.0000000000000007E-2</v>
          </cell>
          <cell r="P57">
            <v>2</v>
          </cell>
        </row>
        <row r="58">
          <cell r="B58" t="str">
            <v>10S</v>
          </cell>
          <cell r="C58">
            <v>0.25</v>
          </cell>
          <cell r="D58">
            <v>1.65</v>
          </cell>
          <cell r="E58">
            <v>1</v>
          </cell>
          <cell r="I58">
            <v>7.0000000000000007E-2</v>
          </cell>
          <cell r="K58">
            <v>7.0000000000000007E-2</v>
          </cell>
          <cell r="P58">
            <v>2</v>
          </cell>
        </row>
        <row r="59">
          <cell r="B59" t="str">
            <v>10S</v>
          </cell>
          <cell r="C59">
            <v>0.25</v>
          </cell>
          <cell r="D59">
            <v>1.65</v>
          </cell>
          <cell r="E59">
            <v>1</v>
          </cell>
          <cell r="I59">
            <v>7.0000000000000007E-2</v>
          </cell>
          <cell r="K59">
            <v>7.0000000000000007E-2</v>
          </cell>
          <cell r="P59">
            <v>2</v>
          </cell>
        </row>
        <row r="60">
          <cell r="B60" t="str">
            <v>10S</v>
          </cell>
          <cell r="C60">
            <v>0.375</v>
          </cell>
          <cell r="D60">
            <v>1.65</v>
          </cell>
          <cell r="E60">
            <v>1</v>
          </cell>
          <cell r="I60">
            <v>7.0000000000000007E-2</v>
          </cell>
          <cell r="J60">
            <v>0</v>
          </cell>
          <cell r="K60">
            <v>7.0000000000000007E-2</v>
          </cell>
          <cell r="P60">
            <v>2</v>
          </cell>
        </row>
        <row r="61">
          <cell r="B61" t="str">
            <v>10S</v>
          </cell>
          <cell r="C61">
            <v>0.375</v>
          </cell>
          <cell r="D61">
            <v>1.65</v>
          </cell>
          <cell r="E61">
            <v>1</v>
          </cell>
          <cell r="I61">
            <v>7.0000000000000007E-2</v>
          </cell>
          <cell r="J61">
            <v>0</v>
          </cell>
          <cell r="K61">
            <v>7.0000000000000007E-2</v>
          </cell>
          <cell r="P61">
            <v>2</v>
          </cell>
        </row>
        <row r="62">
          <cell r="B62" t="str">
            <v>10S</v>
          </cell>
          <cell r="C62">
            <v>0.375</v>
          </cell>
          <cell r="D62">
            <v>1.65</v>
          </cell>
          <cell r="E62">
            <v>1</v>
          </cell>
          <cell r="I62">
            <v>7.0000000000000007E-2</v>
          </cell>
          <cell r="J62">
            <v>0</v>
          </cell>
          <cell r="K62">
            <v>7.0000000000000007E-2</v>
          </cell>
          <cell r="P62">
            <v>2</v>
          </cell>
        </row>
        <row r="63">
          <cell r="B63" t="str">
            <v>10S</v>
          </cell>
          <cell r="C63">
            <v>0.5</v>
          </cell>
          <cell r="D63">
            <v>2.11</v>
          </cell>
          <cell r="E63">
            <v>1</v>
          </cell>
          <cell r="I63">
            <v>7.0000000000000007E-2</v>
          </cell>
          <cell r="J63">
            <v>0</v>
          </cell>
          <cell r="K63">
            <v>7.0000000000000007E-2</v>
          </cell>
          <cell r="P63">
            <v>2</v>
          </cell>
        </row>
        <row r="64">
          <cell r="B64" t="str">
            <v>10S</v>
          </cell>
          <cell r="C64">
            <v>0.5</v>
          </cell>
          <cell r="D64">
            <v>2.11</v>
          </cell>
          <cell r="E64">
            <v>1</v>
          </cell>
          <cell r="I64">
            <v>7.0000000000000007E-2</v>
          </cell>
          <cell r="J64">
            <v>0</v>
          </cell>
          <cell r="K64">
            <v>7.0000000000000007E-2</v>
          </cell>
          <cell r="P64">
            <v>2</v>
          </cell>
        </row>
        <row r="65">
          <cell r="B65" t="str">
            <v>10S</v>
          </cell>
          <cell r="C65">
            <v>0.5</v>
          </cell>
          <cell r="D65">
            <v>2.11</v>
          </cell>
          <cell r="E65">
            <v>1</v>
          </cell>
          <cell r="I65">
            <v>7.0000000000000007E-2</v>
          </cell>
          <cell r="J65">
            <v>0</v>
          </cell>
          <cell r="K65">
            <v>7.0000000000000007E-2</v>
          </cell>
          <cell r="P65">
            <v>2</v>
          </cell>
        </row>
        <row r="66">
          <cell r="B66" t="str">
            <v>10S</v>
          </cell>
          <cell r="C66">
            <v>0.75</v>
          </cell>
          <cell r="D66">
            <v>2.11</v>
          </cell>
          <cell r="E66">
            <v>1</v>
          </cell>
          <cell r="I66">
            <v>7.0000000000000007E-2</v>
          </cell>
          <cell r="J66">
            <v>0</v>
          </cell>
          <cell r="K66">
            <v>7.0000000000000007E-2</v>
          </cell>
          <cell r="P66">
            <v>2</v>
          </cell>
        </row>
        <row r="67">
          <cell r="B67" t="str">
            <v>10S</v>
          </cell>
          <cell r="C67">
            <v>0.75</v>
          </cell>
          <cell r="D67">
            <v>2.11</v>
          </cell>
          <cell r="E67">
            <v>1</v>
          </cell>
          <cell r="I67">
            <v>7.0000000000000007E-2</v>
          </cell>
          <cell r="J67">
            <v>0</v>
          </cell>
          <cell r="K67">
            <v>7.0000000000000007E-2</v>
          </cell>
          <cell r="P67">
            <v>2</v>
          </cell>
        </row>
        <row r="68">
          <cell r="B68" t="str">
            <v>10S</v>
          </cell>
          <cell r="C68">
            <v>0.75</v>
          </cell>
          <cell r="D68">
            <v>2.11</v>
          </cell>
          <cell r="E68">
            <v>1</v>
          </cell>
          <cell r="I68">
            <v>7.0000000000000007E-2</v>
          </cell>
          <cell r="J68">
            <v>0</v>
          </cell>
          <cell r="K68">
            <v>7.0000000000000007E-2</v>
          </cell>
          <cell r="P68">
            <v>2</v>
          </cell>
        </row>
        <row r="69">
          <cell r="B69" t="str">
            <v>10S</v>
          </cell>
          <cell r="C69">
            <v>1</v>
          </cell>
          <cell r="D69">
            <v>2.77</v>
          </cell>
          <cell r="E69">
            <v>1</v>
          </cell>
          <cell r="I69">
            <v>0.12</v>
          </cell>
          <cell r="J69">
            <v>0</v>
          </cell>
          <cell r="K69">
            <v>0.12</v>
          </cell>
          <cell r="P69">
            <v>2</v>
          </cell>
        </row>
        <row r="70">
          <cell r="B70" t="str">
            <v>10S</v>
          </cell>
          <cell r="C70">
            <v>1</v>
          </cell>
          <cell r="D70">
            <v>2.77</v>
          </cell>
          <cell r="E70">
            <v>1</v>
          </cell>
          <cell r="I70">
            <v>0.12</v>
          </cell>
          <cell r="J70">
            <v>0</v>
          </cell>
          <cell r="K70">
            <v>0.12</v>
          </cell>
          <cell r="P70">
            <v>2</v>
          </cell>
        </row>
        <row r="71">
          <cell r="B71" t="str">
            <v>10S</v>
          </cell>
          <cell r="C71">
            <v>1</v>
          </cell>
          <cell r="D71">
            <v>2.77</v>
          </cell>
          <cell r="E71">
            <v>1</v>
          </cell>
          <cell r="I71">
            <v>0.12</v>
          </cell>
          <cell r="J71">
            <v>0</v>
          </cell>
          <cell r="K71">
            <v>0.12</v>
          </cell>
          <cell r="P71">
            <v>2</v>
          </cell>
        </row>
        <row r="72">
          <cell r="B72" t="str">
            <v>10S</v>
          </cell>
          <cell r="C72">
            <v>1.25</v>
          </cell>
          <cell r="D72">
            <v>2.77</v>
          </cell>
          <cell r="E72">
            <v>1</v>
          </cell>
          <cell r="I72">
            <v>0.15</v>
          </cell>
          <cell r="K72">
            <v>0.15</v>
          </cell>
          <cell r="P72">
            <v>2</v>
          </cell>
        </row>
        <row r="73">
          <cell r="B73" t="str">
            <v>10S</v>
          </cell>
          <cell r="C73">
            <v>1.25</v>
          </cell>
          <cell r="D73">
            <v>2.77</v>
          </cell>
          <cell r="E73">
            <v>1</v>
          </cell>
          <cell r="I73">
            <v>0.15</v>
          </cell>
          <cell r="K73">
            <v>0.15</v>
          </cell>
          <cell r="P73">
            <v>2</v>
          </cell>
        </row>
        <row r="74">
          <cell r="B74" t="str">
            <v>10S</v>
          </cell>
          <cell r="C74">
            <v>1.25</v>
          </cell>
          <cell r="D74">
            <v>2.77</v>
          </cell>
          <cell r="E74">
            <v>1</v>
          </cell>
          <cell r="I74">
            <v>0.15</v>
          </cell>
          <cell r="K74">
            <v>0.15</v>
          </cell>
          <cell r="P74">
            <v>2</v>
          </cell>
        </row>
        <row r="75">
          <cell r="B75" t="str">
            <v>10S</v>
          </cell>
          <cell r="C75">
            <v>1.5</v>
          </cell>
          <cell r="D75">
            <v>2.77</v>
          </cell>
          <cell r="E75">
            <v>1</v>
          </cell>
          <cell r="I75">
            <v>0.15</v>
          </cell>
          <cell r="J75">
            <v>0</v>
          </cell>
          <cell r="K75">
            <v>0.15</v>
          </cell>
          <cell r="P75">
            <v>2</v>
          </cell>
        </row>
        <row r="76">
          <cell r="B76" t="str">
            <v>10S</v>
          </cell>
          <cell r="C76">
            <v>1.5</v>
          </cell>
          <cell r="D76">
            <v>2.77</v>
          </cell>
          <cell r="E76">
            <v>1</v>
          </cell>
          <cell r="I76">
            <v>0.15</v>
          </cell>
          <cell r="J76">
            <v>0</v>
          </cell>
          <cell r="K76">
            <v>0.15</v>
          </cell>
          <cell r="P76">
            <v>2</v>
          </cell>
        </row>
        <row r="77">
          <cell r="B77" t="str">
            <v>10S</v>
          </cell>
          <cell r="C77">
            <v>1.5</v>
          </cell>
          <cell r="D77">
            <v>2.77</v>
          </cell>
          <cell r="E77">
            <v>1</v>
          </cell>
          <cell r="I77">
            <v>0.15</v>
          </cell>
          <cell r="J77">
            <v>0</v>
          </cell>
          <cell r="K77">
            <v>0.15</v>
          </cell>
          <cell r="P77">
            <v>2</v>
          </cell>
        </row>
        <row r="78">
          <cell r="B78" t="str">
            <v>10S</v>
          </cell>
          <cell r="C78">
            <v>2</v>
          </cell>
          <cell r="D78">
            <v>2.77</v>
          </cell>
          <cell r="E78">
            <v>1</v>
          </cell>
          <cell r="I78">
            <v>0.15</v>
          </cell>
          <cell r="J78">
            <v>0</v>
          </cell>
          <cell r="K78">
            <v>0.15</v>
          </cell>
          <cell r="P78">
            <v>2</v>
          </cell>
        </row>
        <row r="79">
          <cell r="B79" t="str">
            <v>10S</v>
          </cell>
          <cell r="C79">
            <v>2</v>
          </cell>
          <cell r="D79">
            <v>2.77</v>
          </cell>
          <cell r="E79">
            <v>1</v>
          </cell>
          <cell r="I79">
            <v>0.15</v>
          </cell>
          <cell r="J79">
            <v>0</v>
          </cell>
          <cell r="K79">
            <v>0.15</v>
          </cell>
          <cell r="P79">
            <v>2</v>
          </cell>
        </row>
        <row r="80">
          <cell r="B80" t="str">
            <v>10S</v>
          </cell>
          <cell r="C80">
            <v>2</v>
          </cell>
          <cell r="D80">
            <v>2.77</v>
          </cell>
          <cell r="E80">
            <v>1</v>
          </cell>
          <cell r="I80">
            <v>0.15</v>
          </cell>
          <cell r="J80">
            <v>0</v>
          </cell>
          <cell r="K80">
            <v>0.15</v>
          </cell>
          <cell r="P80">
            <v>2</v>
          </cell>
        </row>
        <row r="81">
          <cell r="B81" t="str">
            <v>10S</v>
          </cell>
          <cell r="C81">
            <v>2.5</v>
          </cell>
          <cell r="D81">
            <v>3.05</v>
          </cell>
          <cell r="E81">
            <v>1</v>
          </cell>
          <cell r="I81">
            <v>0.15</v>
          </cell>
          <cell r="J81">
            <v>0</v>
          </cell>
          <cell r="K81">
            <v>0.15</v>
          </cell>
          <cell r="P81">
            <v>2</v>
          </cell>
        </row>
        <row r="82">
          <cell r="B82" t="str">
            <v>10S</v>
          </cell>
          <cell r="C82">
            <v>3</v>
          </cell>
          <cell r="D82">
            <v>3.05</v>
          </cell>
          <cell r="E82">
            <v>1</v>
          </cell>
          <cell r="I82">
            <v>0.3</v>
          </cell>
          <cell r="J82">
            <v>0</v>
          </cell>
          <cell r="K82">
            <v>0.3</v>
          </cell>
          <cell r="P82">
            <v>2</v>
          </cell>
        </row>
        <row r="83">
          <cell r="B83" t="str">
            <v>10S</v>
          </cell>
          <cell r="C83">
            <v>3.5</v>
          </cell>
          <cell r="D83">
            <v>3.05</v>
          </cell>
          <cell r="E83">
            <v>1</v>
          </cell>
          <cell r="I83">
            <v>0.3</v>
          </cell>
          <cell r="K83">
            <v>0.3</v>
          </cell>
          <cell r="P83">
            <v>3</v>
          </cell>
        </row>
        <row r="84">
          <cell r="B84" t="str">
            <v>10S</v>
          </cell>
          <cell r="C84">
            <v>4</v>
          </cell>
          <cell r="D84">
            <v>3.05</v>
          </cell>
          <cell r="E84">
            <v>1</v>
          </cell>
          <cell r="I84">
            <v>0.45</v>
          </cell>
          <cell r="J84">
            <v>0</v>
          </cell>
          <cell r="K84">
            <v>0.45</v>
          </cell>
          <cell r="P84">
            <v>3</v>
          </cell>
        </row>
        <row r="85">
          <cell r="B85" t="str">
            <v>10S</v>
          </cell>
          <cell r="C85">
            <v>5</v>
          </cell>
          <cell r="D85">
            <v>3.4</v>
          </cell>
          <cell r="E85">
            <v>1</v>
          </cell>
          <cell r="I85">
            <v>0.45</v>
          </cell>
          <cell r="K85">
            <v>0.45</v>
          </cell>
          <cell r="P85">
            <v>4</v>
          </cell>
        </row>
        <row r="86">
          <cell r="B86" t="str">
            <v>10S</v>
          </cell>
          <cell r="C86">
            <v>6</v>
          </cell>
          <cell r="D86">
            <v>3.4</v>
          </cell>
          <cell r="E86">
            <v>1</v>
          </cell>
          <cell r="I86">
            <v>0.6</v>
          </cell>
          <cell r="J86">
            <v>0</v>
          </cell>
          <cell r="K86">
            <v>0.6</v>
          </cell>
          <cell r="P86">
            <v>4</v>
          </cell>
        </row>
        <row r="87">
          <cell r="B87" t="str">
            <v>10S</v>
          </cell>
          <cell r="C87">
            <v>8</v>
          </cell>
          <cell r="D87">
            <v>3.76</v>
          </cell>
          <cell r="E87">
            <v>1</v>
          </cell>
          <cell r="I87">
            <v>0.6</v>
          </cell>
          <cell r="J87">
            <v>0</v>
          </cell>
          <cell r="K87">
            <v>0.6</v>
          </cell>
          <cell r="P87">
            <v>4</v>
          </cell>
        </row>
        <row r="88">
          <cell r="B88" t="str">
            <v>10S</v>
          </cell>
          <cell r="C88">
            <v>10</v>
          </cell>
          <cell r="D88">
            <v>4.1900000000000004</v>
          </cell>
          <cell r="E88">
            <v>1</v>
          </cell>
          <cell r="I88">
            <v>1.2</v>
          </cell>
          <cell r="J88">
            <v>0</v>
          </cell>
          <cell r="K88">
            <v>1.2</v>
          </cell>
          <cell r="P88">
            <v>4</v>
          </cell>
        </row>
        <row r="89">
          <cell r="B89" t="str">
            <v>10S</v>
          </cell>
          <cell r="C89">
            <v>12</v>
          </cell>
          <cell r="D89">
            <v>4.57</v>
          </cell>
          <cell r="E89">
            <v>1</v>
          </cell>
          <cell r="I89">
            <v>1.5</v>
          </cell>
          <cell r="J89">
            <v>0</v>
          </cell>
          <cell r="K89">
            <v>1.5</v>
          </cell>
          <cell r="P89">
            <v>6</v>
          </cell>
        </row>
        <row r="90">
          <cell r="B90" t="str">
            <v>10S</v>
          </cell>
          <cell r="C90">
            <v>14</v>
          </cell>
          <cell r="D90">
            <v>4.78</v>
          </cell>
          <cell r="E90">
            <v>1</v>
          </cell>
          <cell r="I90">
            <v>1.65</v>
          </cell>
          <cell r="J90">
            <v>0</v>
          </cell>
          <cell r="K90">
            <v>1.65</v>
          </cell>
          <cell r="P90">
            <v>6</v>
          </cell>
        </row>
        <row r="91">
          <cell r="B91" t="str">
            <v>10S</v>
          </cell>
          <cell r="C91">
            <v>16</v>
          </cell>
          <cell r="D91">
            <v>4.78</v>
          </cell>
          <cell r="E91">
            <v>1</v>
          </cell>
          <cell r="I91">
            <v>1.95</v>
          </cell>
          <cell r="J91">
            <v>0</v>
          </cell>
          <cell r="K91">
            <v>1.95</v>
          </cell>
          <cell r="P91">
            <v>6</v>
          </cell>
        </row>
        <row r="92">
          <cell r="B92" t="str">
            <v>10S</v>
          </cell>
          <cell r="C92">
            <v>18</v>
          </cell>
          <cell r="D92">
            <v>4.78</v>
          </cell>
          <cell r="E92">
            <v>1</v>
          </cell>
          <cell r="I92">
            <v>2.25</v>
          </cell>
          <cell r="J92">
            <v>0</v>
          </cell>
          <cell r="K92">
            <v>2.25</v>
          </cell>
          <cell r="P92">
            <v>6</v>
          </cell>
        </row>
        <row r="93">
          <cell r="B93" t="str">
            <v>10S</v>
          </cell>
          <cell r="C93">
            <v>20</v>
          </cell>
          <cell r="D93">
            <v>5.54</v>
          </cell>
          <cell r="E93">
            <v>1</v>
          </cell>
          <cell r="I93">
            <v>2.0299999999999998</v>
          </cell>
          <cell r="J93">
            <v>1.1200000000000001</v>
          </cell>
          <cell r="K93">
            <v>3.15</v>
          </cell>
          <cell r="P93">
            <v>7</v>
          </cell>
        </row>
        <row r="94">
          <cell r="B94" t="str">
            <v>10S</v>
          </cell>
          <cell r="C94">
            <v>22</v>
          </cell>
          <cell r="D94">
            <v>5.54</v>
          </cell>
          <cell r="E94">
            <v>1</v>
          </cell>
          <cell r="I94">
            <v>2.23</v>
          </cell>
          <cell r="J94">
            <v>1.37</v>
          </cell>
          <cell r="K94">
            <v>3.6</v>
          </cell>
          <cell r="P94">
            <v>8</v>
          </cell>
        </row>
        <row r="95">
          <cell r="B95" t="str">
            <v>10S</v>
          </cell>
          <cell r="C95">
            <v>24</v>
          </cell>
          <cell r="D95">
            <v>6.35</v>
          </cell>
          <cell r="E95">
            <v>1</v>
          </cell>
          <cell r="I95">
            <v>2.4300000000000002</v>
          </cell>
          <cell r="J95">
            <v>2.0699999999999998</v>
          </cell>
          <cell r="K95">
            <v>4.5</v>
          </cell>
          <cell r="P95">
            <v>8</v>
          </cell>
        </row>
        <row r="96">
          <cell r="B96" t="str">
            <v>10S</v>
          </cell>
          <cell r="C96">
            <v>30</v>
          </cell>
          <cell r="D96">
            <v>7.92</v>
          </cell>
          <cell r="E96">
            <v>1</v>
          </cell>
          <cell r="I96">
            <v>3.04</v>
          </cell>
          <cell r="J96">
            <v>5.66</v>
          </cell>
          <cell r="K96">
            <v>8.6999999999999993</v>
          </cell>
          <cell r="P96">
            <v>10</v>
          </cell>
        </row>
        <row r="97">
          <cell r="B97">
            <v>20</v>
          </cell>
          <cell r="C97">
            <v>8</v>
          </cell>
          <cell r="D97">
            <v>6.35</v>
          </cell>
          <cell r="E97">
            <v>1</v>
          </cell>
          <cell r="I97">
            <v>0.81</v>
          </cell>
          <cell r="J97">
            <v>0.99</v>
          </cell>
          <cell r="K97">
            <v>1.8</v>
          </cell>
          <cell r="P97">
            <v>4</v>
          </cell>
        </row>
        <row r="98">
          <cell r="B98">
            <v>20</v>
          </cell>
          <cell r="C98">
            <v>10</v>
          </cell>
          <cell r="D98">
            <v>6.35</v>
          </cell>
          <cell r="E98">
            <v>1</v>
          </cell>
          <cell r="I98">
            <v>1.01</v>
          </cell>
          <cell r="J98">
            <v>1.0900000000000001</v>
          </cell>
          <cell r="K98">
            <v>2.1</v>
          </cell>
          <cell r="P98">
            <v>4</v>
          </cell>
        </row>
        <row r="99">
          <cell r="B99">
            <v>20</v>
          </cell>
          <cell r="C99">
            <v>12</v>
          </cell>
          <cell r="D99">
            <v>6.35</v>
          </cell>
          <cell r="E99">
            <v>1</v>
          </cell>
          <cell r="I99">
            <v>1.22</v>
          </cell>
          <cell r="J99">
            <v>1.32</v>
          </cell>
          <cell r="K99">
            <v>2.54</v>
          </cell>
          <cell r="P99">
            <v>6</v>
          </cell>
        </row>
        <row r="100">
          <cell r="B100">
            <v>20</v>
          </cell>
          <cell r="C100">
            <v>14</v>
          </cell>
          <cell r="D100">
            <v>7.92</v>
          </cell>
          <cell r="E100">
            <v>1</v>
          </cell>
          <cell r="I100">
            <v>1.42</v>
          </cell>
          <cell r="J100">
            <v>2.48</v>
          </cell>
          <cell r="K100">
            <v>3.9</v>
          </cell>
          <cell r="P100">
            <v>6</v>
          </cell>
        </row>
        <row r="101">
          <cell r="B101">
            <v>20</v>
          </cell>
          <cell r="C101">
            <v>16</v>
          </cell>
          <cell r="D101">
            <v>7.92</v>
          </cell>
          <cell r="E101">
            <v>1</v>
          </cell>
          <cell r="I101">
            <v>1.62</v>
          </cell>
          <cell r="J101">
            <v>2.73</v>
          </cell>
          <cell r="K101">
            <v>4.3499999999999996</v>
          </cell>
          <cell r="P101">
            <v>6</v>
          </cell>
        </row>
        <row r="102">
          <cell r="B102">
            <v>20</v>
          </cell>
          <cell r="C102">
            <v>18</v>
          </cell>
          <cell r="D102">
            <v>7.92</v>
          </cell>
          <cell r="E102">
            <v>1</v>
          </cell>
          <cell r="I102">
            <v>1.82</v>
          </cell>
          <cell r="J102">
            <v>3.12</v>
          </cell>
          <cell r="K102">
            <v>4.9400000000000004</v>
          </cell>
          <cell r="P102">
            <v>6</v>
          </cell>
        </row>
        <row r="103">
          <cell r="B103">
            <v>20</v>
          </cell>
          <cell r="C103">
            <v>20</v>
          </cell>
          <cell r="D103">
            <v>9.5299999999999994</v>
          </cell>
          <cell r="E103">
            <v>1</v>
          </cell>
          <cell r="I103">
            <v>2.0299999999999998</v>
          </cell>
          <cell r="J103">
            <v>5.47</v>
          </cell>
          <cell r="K103">
            <v>7.5</v>
          </cell>
          <cell r="P103">
            <v>7</v>
          </cell>
        </row>
        <row r="104">
          <cell r="B104">
            <v>20</v>
          </cell>
          <cell r="C104">
            <v>22</v>
          </cell>
          <cell r="D104">
            <v>9.5299999999999994</v>
          </cell>
          <cell r="E104">
            <v>1</v>
          </cell>
          <cell r="I104">
            <v>2.23</v>
          </cell>
          <cell r="J104">
            <v>6.47</v>
          </cell>
          <cell r="K104">
            <v>8.6999999999999993</v>
          </cell>
          <cell r="P104">
            <v>8</v>
          </cell>
        </row>
        <row r="105">
          <cell r="B105">
            <v>20</v>
          </cell>
          <cell r="C105">
            <v>24</v>
          </cell>
          <cell r="D105">
            <v>9.5299999999999994</v>
          </cell>
          <cell r="E105">
            <v>1</v>
          </cell>
          <cell r="I105">
            <v>2.4300000000000002</v>
          </cell>
          <cell r="J105">
            <v>6.57</v>
          </cell>
          <cell r="K105">
            <v>9</v>
          </cell>
          <cell r="P105">
            <v>8</v>
          </cell>
        </row>
        <row r="106">
          <cell r="B106">
            <v>20</v>
          </cell>
          <cell r="C106">
            <v>26</v>
          </cell>
          <cell r="D106">
            <v>12.7</v>
          </cell>
          <cell r="E106">
            <v>1.25</v>
          </cell>
          <cell r="I106">
            <v>2.64</v>
          </cell>
          <cell r="J106">
            <v>13.86</v>
          </cell>
          <cell r="K106">
            <v>16.5</v>
          </cell>
          <cell r="P106">
            <v>9</v>
          </cell>
        </row>
        <row r="107">
          <cell r="B107">
            <v>20</v>
          </cell>
          <cell r="C107">
            <v>28</v>
          </cell>
          <cell r="D107">
            <v>12.7</v>
          </cell>
          <cell r="E107">
            <v>1.25</v>
          </cell>
          <cell r="I107">
            <v>2.84</v>
          </cell>
          <cell r="J107">
            <v>15.16</v>
          </cell>
          <cell r="K107">
            <v>18</v>
          </cell>
          <cell r="P107">
            <v>9</v>
          </cell>
        </row>
        <row r="108">
          <cell r="B108">
            <v>20</v>
          </cell>
          <cell r="C108">
            <v>30</v>
          </cell>
          <cell r="D108">
            <v>12.7</v>
          </cell>
          <cell r="E108">
            <v>1.25</v>
          </cell>
          <cell r="I108">
            <v>3.04</v>
          </cell>
          <cell r="J108">
            <v>16.45</v>
          </cell>
          <cell r="K108">
            <v>19.489999999999998</v>
          </cell>
          <cell r="P108">
            <v>10</v>
          </cell>
        </row>
        <row r="109">
          <cell r="B109">
            <v>20</v>
          </cell>
          <cell r="C109">
            <v>32</v>
          </cell>
          <cell r="D109">
            <v>12.7</v>
          </cell>
          <cell r="E109">
            <v>1.25</v>
          </cell>
          <cell r="I109">
            <v>3.24</v>
          </cell>
          <cell r="J109">
            <v>17.75</v>
          </cell>
          <cell r="K109">
            <v>20.990000000000002</v>
          </cell>
          <cell r="P109">
            <v>11</v>
          </cell>
        </row>
        <row r="110">
          <cell r="B110">
            <v>20</v>
          </cell>
          <cell r="C110">
            <v>34</v>
          </cell>
          <cell r="D110">
            <v>12.7</v>
          </cell>
          <cell r="E110">
            <v>1.25</v>
          </cell>
          <cell r="I110">
            <v>3.45</v>
          </cell>
          <cell r="J110">
            <v>18.54</v>
          </cell>
          <cell r="K110">
            <v>21.99</v>
          </cell>
          <cell r="P110">
            <v>12</v>
          </cell>
        </row>
        <row r="111">
          <cell r="B111">
            <v>20</v>
          </cell>
          <cell r="C111">
            <v>36</v>
          </cell>
          <cell r="D111">
            <v>12.7</v>
          </cell>
          <cell r="E111">
            <v>1.25</v>
          </cell>
          <cell r="I111">
            <v>3.65</v>
          </cell>
          <cell r="J111">
            <v>18.84</v>
          </cell>
          <cell r="K111">
            <v>22.49</v>
          </cell>
          <cell r="P111">
            <v>12</v>
          </cell>
        </row>
        <row r="112">
          <cell r="B112">
            <v>30</v>
          </cell>
          <cell r="C112">
            <v>8</v>
          </cell>
          <cell r="D112">
            <v>7.04</v>
          </cell>
          <cell r="E112">
            <v>1</v>
          </cell>
          <cell r="I112">
            <v>0.81</v>
          </cell>
          <cell r="J112">
            <v>1.1399999999999999</v>
          </cell>
          <cell r="K112">
            <v>1.95</v>
          </cell>
          <cell r="P112">
            <v>4</v>
          </cell>
        </row>
        <row r="113">
          <cell r="B113">
            <v>30</v>
          </cell>
          <cell r="C113">
            <v>10</v>
          </cell>
          <cell r="D113">
            <v>7.8</v>
          </cell>
          <cell r="E113">
            <v>1</v>
          </cell>
          <cell r="I113">
            <v>1.01</v>
          </cell>
          <cell r="J113">
            <v>1.99</v>
          </cell>
          <cell r="K113">
            <v>3</v>
          </cell>
          <cell r="P113">
            <v>4</v>
          </cell>
        </row>
        <row r="114">
          <cell r="B114">
            <v>30</v>
          </cell>
          <cell r="C114">
            <v>12</v>
          </cell>
          <cell r="D114">
            <v>8.3800000000000008</v>
          </cell>
          <cell r="E114">
            <v>1</v>
          </cell>
          <cell r="I114">
            <v>1.22</v>
          </cell>
          <cell r="J114">
            <v>2.68</v>
          </cell>
          <cell r="K114">
            <v>3.9000000000000004</v>
          </cell>
          <cell r="P114">
            <v>6</v>
          </cell>
        </row>
        <row r="115">
          <cell r="B115">
            <v>30</v>
          </cell>
          <cell r="C115">
            <v>14</v>
          </cell>
          <cell r="D115">
            <v>9.5299999999999994</v>
          </cell>
          <cell r="E115">
            <v>1</v>
          </cell>
          <cell r="I115">
            <v>1.42</v>
          </cell>
          <cell r="J115">
            <v>3.97</v>
          </cell>
          <cell r="K115">
            <v>5.3900000000000006</v>
          </cell>
          <cell r="P115">
            <v>6</v>
          </cell>
        </row>
        <row r="116">
          <cell r="B116">
            <v>30</v>
          </cell>
          <cell r="C116">
            <v>16</v>
          </cell>
          <cell r="D116">
            <v>9.5299999999999994</v>
          </cell>
          <cell r="E116">
            <v>1</v>
          </cell>
          <cell r="I116">
            <v>1.62</v>
          </cell>
          <cell r="J116">
            <v>4.68</v>
          </cell>
          <cell r="K116">
            <v>6.3</v>
          </cell>
          <cell r="P116">
            <v>6</v>
          </cell>
        </row>
        <row r="117">
          <cell r="B117">
            <v>30</v>
          </cell>
          <cell r="C117">
            <v>18</v>
          </cell>
          <cell r="D117">
            <v>11.13</v>
          </cell>
          <cell r="E117">
            <v>1.25</v>
          </cell>
          <cell r="I117">
            <v>1.82</v>
          </cell>
          <cell r="J117">
            <v>6.88</v>
          </cell>
          <cell r="K117">
            <v>8.6999999999999993</v>
          </cell>
          <cell r="P117">
            <v>6</v>
          </cell>
        </row>
        <row r="118">
          <cell r="B118">
            <v>30</v>
          </cell>
          <cell r="C118">
            <v>20</v>
          </cell>
          <cell r="D118">
            <v>12.7</v>
          </cell>
          <cell r="E118">
            <v>1.25</v>
          </cell>
          <cell r="I118">
            <v>2.0299999999999998</v>
          </cell>
          <cell r="J118">
            <v>10.42</v>
          </cell>
          <cell r="K118">
            <v>12.45</v>
          </cell>
          <cell r="P118">
            <v>7</v>
          </cell>
        </row>
        <row r="119">
          <cell r="B119">
            <v>30</v>
          </cell>
          <cell r="C119">
            <v>22</v>
          </cell>
          <cell r="D119">
            <v>12.7</v>
          </cell>
          <cell r="E119">
            <v>1.25</v>
          </cell>
          <cell r="I119">
            <v>2.23</v>
          </cell>
          <cell r="J119">
            <v>11.72</v>
          </cell>
          <cell r="K119">
            <v>13.950000000000001</v>
          </cell>
          <cell r="P119">
            <v>8</v>
          </cell>
        </row>
        <row r="120">
          <cell r="B120">
            <v>30</v>
          </cell>
          <cell r="C120">
            <v>24</v>
          </cell>
          <cell r="D120">
            <v>14.27</v>
          </cell>
          <cell r="E120">
            <v>1.25</v>
          </cell>
          <cell r="I120">
            <v>2.4300000000000002</v>
          </cell>
          <cell r="J120">
            <v>15.57</v>
          </cell>
          <cell r="K120">
            <v>18</v>
          </cell>
          <cell r="P120">
            <v>8</v>
          </cell>
        </row>
        <row r="121">
          <cell r="B121">
            <v>30</v>
          </cell>
          <cell r="C121">
            <v>28</v>
          </cell>
          <cell r="D121">
            <v>15.88</v>
          </cell>
          <cell r="E121">
            <v>1.5</v>
          </cell>
          <cell r="I121">
            <v>2.84</v>
          </cell>
          <cell r="J121">
            <v>22.65</v>
          </cell>
          <cell r="K121">
            <v>25.49</v>
          </cell>
          <cell r="P121">
            <v>9</v>
          </cell>
        </row>
        <row r="122">
          <cell r="B122">
            <v>30</v>
          </cell>
          <cell r="C122">
            <v>30</v>
          </cell>
          <cell r="D122">
            <v>15.88</v>
          </cell>
          <cell r="E122">
            <v>1.5</v>
          </cell>
          <cell r="I122">
            <v>3.04</v>
          </cell>
          <cell r="J122">
            <v>23.96</v>
          </cell>
          <cell r="K122">
            <v>27</v>
          </cell>
          <cell r="P122">
            <v>10</v>
          </cell>
        </row>
        <row r="123">
          <cell r="B123">
            <v>30</v>
          </cell>
          <cell r="C123">
            <v>32</v>
          </cell>
          <cell r="D123">
            <v>15.88</v>
          </cell>
          <cell r="E123">
            <v>1.5</v>
          </cell>
          <cell r="I123">
            <v>3.24</v>
          </cell>
          <cell r="J123">
            <v>26.76</v>
          </cell>
          <cell r="K123">
            <v>30</v>
          </cell>
          <cell r="P123">
            <v>11</v>
          </cell>
        </row>
        <row r="124">
          <cell r="B124">
            <v>30</v>
          </cell>
          <cell r="C124">
            <v>34</v>
          </cell>
          <cell r="D124">
            <v>15.88</v>
          </cell>
          <cell r="E124">
            <v>1.5</v>
          </cell>
          <cell r="I124">
            <v>3.45</v>
          </cell>
          <cell r="J124">
            <v>28.05</v>
          </cell>
          <cell r="K124">
            <v>31.5</v>
          </cell>
          <cell r="P124">
            <v>12</v>
          </cell>
        </row>
        <row r="125">
          <cell r="B125">
            <v>30</v>
          </cell>
          <cell r="C125">
            <v>36</v>
          </cell>
          <cell r="D125">
            <v>15.88</v>
          </cell>
          <cell r="E125">
            <v>1.5</v>
          </cell>
          <cell r="I125">
            <v>3.65</v>
          </cell>
          <cell r="J125">
            <v>29.35</v>
          </cell>
          <cell r="K125">
            <v>33</v>
          </cell>
          <cell r="P125">
            <v>12</v>
          </cell>
        </row>
        <row r="126">
          <cell r="B126">
            <v>40</v>
          </cell>
          <cell r="C126">
            <v>0.125</v>
          </cell>
          <cell r="D126">
            <v>1.73</v>
          </cell>
          <cell r="E126">
            <v>1</v>
          </cell>
          <cell r="I126">
            <v>7.0000000000000007E-2</v>
          </cell>
          <cell r="K126">
            <v>7.0000000000000007E-2</v>
          </cell>
          <cell r="P126">
            <v>2</v>
          </cell>
        </row>
        <row r="127">
          <cell r="B127">
            <v>40</v>
          </cell>
          <cell r="C127">
            <v>0.125</v>
          </cell>
          <cell r="D127">
            <v>1.73</v>
          </cell>
          <cell r="E127">
            <v>1</v>
          </cell>
          <cell r="I127">
            <v>7.0000000000000007E-2</v>
          </cell>
          <cell r="K127">
            <v>7.0000000000000007E-2</v>
          </cell>
          <cell r="P127">
            <v>2</v>
          </cell>
        </row>
        <row r="128">
          <cell r="B128">
            <v>40</v>
          </cell>
          <cell r="C128">
            <v>0.125</v>
          </cell>
          <cell r="D128">
            <v>1.73</v>
          </cell>
          <cell r="E128">
            <v>1</v>
          </cell>
          <cell r="I128">
            <v>7.0000000000000007E-2</v>
          </cell>
          <cell r="K128">
            <v>7.0000000000000007E-2</v>
          </cell>
          <cell r="P128">
            <v>2</v>
          </cell>
        </row>
        <row r="129">
          <cell r="B129">
            <v>40</v>
          </cell>
          <cell r="C129">
            <v>0.25</v>
          </cell>
          <cell r="D129">
            <v>2.2400000000000002</v>
          </cell>
          <cell r="E129">
            <v>1</v>
          </cell>
          <cell r="I129">
            <v>7.0000000000000007E-2</v>
          </cell>
          <cell r="K129">
            <v>7.0000000000000007E-2</v>
          </cell>
          <cell r="P129">
            <v>2</v>
          </cell>
        </row>
        <row r="130">
          <cell r="B130">
            <v>40</v>
          </cell>
          <cell r="C130">
            <v>0.25</v>
          </cell>
          <cell r="D130">
            <v>2.2400000000000002</v>
          </cell>
          <cell r="E130">
            <v>1</v>
          </cell>
          <cell r="I130">
            <v>7.0000000000000007E-2</v>
          </cell>
          <cell r="K130">
            <v>7.0000000000000007E-2</v>
          </cell>
          <cell r="P130">
            <v>2</v>
          </cell>
        </row>
        <row r="131">
          <cell r="B131">
            <v>40</v>
          </cell>
          <cell r="C131">
            <v>0.25</v>
          </cell>
          <cell r="D131">
            <v>2.2400000000000002</v>
          </cell>
          <cell r="E131">
            <v>1</v>
          </cell>
          <cell r="I131">
            <v>7.0000000000000007E-2</v>
          </cell>
          <cell r="K131">
            <v>7.0000000000000007E-2</v>
          </cell>
          <cell r="P131">
            <v>2</v>
          </cell>
        </row>
        <row r="132">
          <cell r="B132">
            <v>40</v>
          </cell>
          <cell r="C132">
            <v>0.375</v>
          </cell>
          <cell r="D132">
            <v>2.31</v>
          </cell>
          <cell r="E132">
            <v>1</v>
          </cell>
          <cell r="I132">
            <v>7.0000000000000007E-2</v>
          </cell>
          <cell r="J132">
            <v>0</v>
          </cell>
          <cell r="K132">
            <v>7.0000000000000007E-2</v>
          </cell>
          <cell r="P132">
            <v>2</v>
          </cell>
        </row>
        <row r="133">
          <cell r="B133">
            <v>40</v>
          </cell>
          <cell r="C133">
            <v>0.375</v>
          </cell>
          <cell r="D133">
            <v>2.31</v>
          </cell>
          <cell r="E133">
            <v>1</v>
          </cell>
          <cell r="I133">
            <v>7.0000000000000007E-2</v>
          </cell>
          <cell r="J133">
            <v>0</v>
          </cell>
          <cell r="K133">
            <v>7.0000000000000007E-2</v>
          </cell>
          <cell r="P133">
            <v>2</v>
          </cell>
        </row>
        <row r="134">
          <cell r="B134">
            <v>40</v>
          </cell>
          <cell r="C134">
            <v>0.375</v>
          </cell>
          <cell r="D134">
            <v>2.31</v>
          </cell>
          <cell r="E134">
            <v>1</v>
          </cell>
          <cell r="I134">
            <v>7.0000000000000007E-2</v>
          </cell>
          <cell r="J134">
            <v>0</v>
          </cell>
          <cell r="K134">
            <v>7.0000000000000007E-2</v>
          </cell>
          <cell r="P134">
            <v>2</v>
          </cell>
        </row>
        <row r="135">
          <cell r="B135">
            <v>40</v>
          </cell>
          <cell r="C135">
            <v>0.5</v>
          </cell>
          <cell r="D135">
            <v>2.77</v>
          </cell>
          <cell r="E135">
            <v>1</v>
          </cell>
          <cell r="I135">
            <v>7.0000000000000007E-2</v>
          </cell>
          <cell r="J135">
            <v>0</v>
          </cell>
          <cell r="K135">
            <v>7.0000000000000007E-2</v>
          </cell>
          <cell r="P135">
            <v>2</v>
          </cell>
        </row>
        <row r="136">
          <cell r="B136">
            <v>40</v>
          </cell>
          <cell r="C136">
            <v>0.5</v>
          </cell>
          <cell r="D136">
            <v>2.77</v>
          </cell>
          <cell r="E136">
            <v>1</v>
          </cell>
          <cell r="I136">
            <v>7.0000000000000007E-2</v>
          </cell>
          <cell r="J136">
            <v>0</v>
          </cell>
          <cell r="K136">
            <v>7.0000000000000007E-2</v>
          </cell>
          <cell r="P136">
            <v>2</v>
          </cell>
        </row>
        <row r="137">
          <cell r="B137">
            <v>40</v>
          </cell>
          <cell r="C137">
            <v>0.5</v>
          </cell>
          <cell r="D137">
            <v>2.77</v>
          </cell>
          <cell r="E137">
            <v>1</v>
          </cell>
          <cell r="I137">
            <v>7.0000000000000007E-2</v>
          </cell>
          <cell r="J137">
            <v>0</v>
          </cell>
          <cell r="K137">
            <v>7.0000000000000007E-2</v>
          </cell>
          <cell r="P137">
            <v>2</v>
          </cell>
        </row>
        <row r="138">
          <cell r="B138">
            <v>40</v>
          </cell>
          <cell r="C138">
            <v>0.75</v>
          </cell>
          <cell r="D138">
            <v>2.87</v>
          </cell>
          <cell r="E138">
            <v>1</v>
          </cell>
          <cell r="I138">
            <v>7.0000000000000007E-2</v>
          </cell>
          <cell r="J138">
            <v>0</v>
          </cell>
          <cell r="K138">
            <v>7.0000000000000007E-2</v>
          </cell>
          <cell r="P138">
            <v>2</v>
          </cell>
        </row>
        <row r="139">
          <cell r="B139">
            <v>40</v>
          </cell>
          <cell r="C139">
            <v>0.75</v>
          </cell>
          <cell r="D139">
            <v>2.87</v>
          </cell>
          <cell r="E139">
            <v>1</v>
          </cell>
          <cell r="I139">
            <v>7.0000000000000007E-2</v>
          </cell>
          <cell r="J139">
            <v>0</v>
          </cell>
          <cell r="K139">
            <v>7.0000000000000007E-2</v>
          </cell>
          <cell r="P139">
            <v>2</v>
          </cell>
        </row>
        <row r="140">
          <cell r="B140">
            <v>40</v>
          </cell>
          <cell r="C140">
            <v>0.75</v>
          </cell>
          <cell r="D140">
            <v>2.87</v>
          </cell>
          <cell r="E140">
            <v>1</v>
          </cell>
          <cell r="I140">
            <v>7.0000000000000007E-2</v>
          </cell>
          <cell r="J140">
            <v>0</v>
          </cell>
          <cell r="K140">
            <v>7.0000000000000007E-2</v>
          </cell>
          <cell r="P140">
            <v>2</v>
          </cell>
        </row>
        <row r="141">
          <cell r="B141">
            <v>40</v>
          </cell>
          <cell r="C141">
            <v>1</v>
          </cell>
          <cell r="D141">
            <v>3.38</v>
          </cell>
          <cell r="E141">
            <v>1</v>
          </cell>
          <cell r="I141">
            <v>0.12</v>
          </cell>
          <cell r="J141">
            <v>0</v>
          </cell>
          <cell r="K141">
            <v>0.12</v>
          </cell>
          <cell r="P141">
            <v>2</v>
          </cell>
        </row>
        <row r="142">
          <cell r="B142">
            <v>40</v>
          </cell>
          <cell r="C142">
            <v>1</v>
          </cell>
          <cell r="D142">
            <v>3.38</v>
          </cell>
          <cell r="E142">
            <v>1</v>
          </cell>
          <cell r="I142">
            <v>0.12</v>
          </cell>
          <cell r="J142">
            <v>0</v>
          </cell>
          <cell r="K142">
            <v>0.12</v>
          </cell>
          <cell r="P142">
            <v>2</v>
          </cell>
        </row>
        <row r="143">
          <cell r="B143">
            <v>40</v>
          </cell>
          <cell r="C143">
            <v>1</v>
          </cell>
          <cell r="D143">
            <v>3.38</v>
          </cell>
          <cell r="E143">
            <v>1</v>
          </cell>
          <cell r="I143">
            <v>0.12</v>
          </cell>
          <cell r="J143">
            <v>0</v>
          </cell>
          <cell r="K143">
            <v>0.12</v>
          </cell>
          <cell r="P143">
            <v>2</v>
          </cell>
        </row>
        <row r="144">
          <cell r="B144">
            <v>40</v>
          </cell>
          <cell r="C144">
            <v>1.25</v>
          </cell>
          <cell r="D144">
            <v>3.56</v>
          </cell>
          <cell r="E144">
            <v>1</v>
          </cell>
          <cell r="I144">
            <v>0.15</v>
          </cell>
          <cell r="K144">
            <v>0.15</v>
          </cell>
          <cell r="P144">
            <v>2</v>
          </cell>
        </row>
        <row r="145">
          <cell r="B145">
            <v>40</v>
          </cell>
          <cell r="C145">
            <v>1.25</v>
          </cell>
          <cell r="D145">
            <v>3.56</v>
          </cell>
          <cell r="E145">
            <v>1</v>
          </cell>
          <cell r="I145">
            <v>0.15</v>
          </cell>
          <cell r="K145">
            <v>0.15</v>
          </cell>
          <cell r="P145">
            <v>2</v>
          </cell>
        </row>
        <row r="146">
          <cell r="B146">
            <v>40</v>
          </cell>
          <cell r="C146">
            <v>1.25</v>
          </cell>
          <cell r="D146">
            <v>3.56</v>
          </cell>
          <cell r="E146">
            <v>1</v>
          </cell>
          <cell r="I146">
            <v>0.15</v>
          </cell>
          <cell r="K146">
            <v>0.15</v>
          </cell>
          <cell r="P146">
            <v>2</v>
          </cell>
        </row>
        <row r="147">
          <cell r="B147">
            <v>40</v>
          </cell>
          <cell r="C147">
            <v>1.5</v>
          </cell>
          <cell r="D147">
            <v>3.68</v>
          </cell>
          <cell r="E147">
            <v>1</v>
          </cell>
          <cell r="I147">
            <v>0.15</v>
          </cell>
          <cell r="J147">
            <v>0</v>
          </cell>
          <cell r="K147">
            <v>0.15</v>
          </cell>
          <cell r="P147">
            <v>2</v>
          </cell>
        </row>
        <row r="148">
          <cell r="B148">
            <v>40</v>
          </cell>
          <cell r="C148">
            <v>1.5</v>
          </cell>
          <cell r="D148">
            <v>3.68</v>
          </cell>
          <cell r="E148">
            <v>1</v>
          </cell>
          <cell r="I148">
            <v>0.15</v>
          </cell>
          <cell r="J148">
            <v>0</v>
          </cell>
          <cell r="K148">
            <v>0.15</v>
          </cell>
          <cell r="P148">
            <v>2</v>
          </cell>
        </row>
        <row r="149">
          <cell r="B149">
            <v>40</v>
          </cell>
          <cell r="C149">
            <v>1.5</v>
          </cell>
          <cell r="D149">
            <v>3.68</v>
          </cell>
          <cell r="E149">
            <v>1</v>
          </cell>
          <cell r="I149">
            <v>0.15</v>
          </cell>
          <cell r="J149">
            <v>0</v>
          </cell>
          <cell r="K149">
            <v>0.15</v>
          </cell>
          <cell r="P149">
            <v>2</v>
          </cell>
        </row>
        <row r="150">
          <cell r="B150">
            <v>40</v>
          </cell>
          <cell r="C150">
            <v>2</v>
          </cell>
          <cell r="D150">
            <v>3.91</v>
          </cell>
          <cell r="E150">
            <v>1</v>
          </cell>
          <cell r="I150">
            <v>0.3</v>
          </cell>
          <cell r="J150">
            <v>0</v>
          </cell>
          <cell r="K150">
            <v>0.3</v>
          </cell>
          <cell r="P150">
            <v>2</v>
          </cell>
        </row>
        <row r="151">
          <cell r="B151">
            <v>40</v>
          </cell>
          <cell r="C151">
            <v>2</v>
          </cell>
          <cell r="D151">
            <v>3.91</v>
          </cell>
          <cell r="E151">
            <v>1</v>
          </cell>
          <cell r="I151">
            <v>0.3</v>
          </cell>
          <cell r="J151">
            <v>0</v>
          </cell>
          <cell r="K151">
            <v>0.3</v>
          </cell>
          <cell r="P151">
            <v>2</v>
          </cell>
        </row>
        <row r="152">
          <cell r="B152">
            <v>40</v>
          </cell>
          <cell r="C152">
            <v>2</v>
          </cell>
          <cell r="D152">
            <v>3.91</v>
          </cell>
          <cell r="E152">
            <v>1</v>
          </cell>
          <cell r="I152">
            <v>0.3</v>
          </cell>
          <cell r="J152">
            <v>0</v>
          </cell>
          <cell r="K152">
            <v>0.3</v>
          </cell>
          <cell r="P152">
            <v>2</v>
          </cell>
        </row>
        <row r="153">
          <cell r="B153">
            <v>40</v>
          </cell>
          <cell r="C153">
            <v>2.5</v>
          </cell>
          <cell r="D153">
            <v>5.16</v>
          </cell>
          <cell r="E153">
            <v>1</v>
          </cell>
          <cell r="I153">
            <v>0.25</v>
          </cell>
          <cell r="J153">
            <v>0.2</v>
          </cell>
          <cell r="K153">
            <v>0.45</v>
          </cell>
          <cell r="P153">
            <v>2</v>
          </cell>
        </row>
        <row r="154">
          <cell r="B154">
            <v>40</v>
          </cell>
          <cell r="C154">
            <v>3</v>
          </cell>
          <cell r="D154">
            <v>5.49</v>
          </cell>
          <cell r="E154">
            <v>1</v>
          </cell>
          <cell r="I154">
            <v>0.3</v>
          </cell>
          <cell r="J154">
            <v>0.3</v>
          </cell>
          <cell r="K154">
            <v>0.6</v>
          </cell>
          <cell r="P154">
            <v>2</v>
          </cell>
        </row>
        <row r="155">
          <cell r="B155">
            <v>40</v>
          </cell>
          <cell r="C155">
            <v>3.5</v>
          </cell>
          <cell r="D155">
            <v>5.74</v>
          </cell>
          <cell r="E155">
            <v>1</v>
          </cell>
          <cell r="I155">
            <v>0.35</v>
          </cell>
          <cell r="J155">
            <v>0.4</v>
          </cell>
          <cell r="K155">
            <v>0.75</v>
          </cell>
          <cell r="P155">
            <v>3</v>
          </cell>
        </row>
        <row r="156">
          <cell r="B156">
            <v>40</v>
          </cell>
          <cell r="C156">
            <v>4</v>
          </cell>
          <cell r="D156">
            <v>6.02</v>
          </cell>
          <cell r="E156">
            <v>1</v>
          </cell>
          <cell r="I156">
            <v>0.41</v>
          </cell>
          <cell r="J156">
            <v>0.49</v>
          </cell>
          <cell r="K156">
            <v>0.89999999999999991</v>
          </cell>
          <cell r="P156">
            <v>3</v>
          </cell>
        </row>
        <row r="157">
          <cell r="B157">
            <v>40</v>
          </cell>
          <cell r="C157">
            <v>5</v>
          </cell>
          <cell r="D157">
            <v>6.55</v>
          </cell>
          <cell r="E157">
            <v>1</v>
          </cell>
          <cell r="I157">
            <v>0.51</v>
          </cell>
          <cell r="J157">
            <v>0.54</v>
          </cell>
          <cell r="K157">
            <v>1.05</v>
          </cell>
          <cell r="P157">
            <v>4</v>
          </cell>
        </row>
        <row r="158">
          <cell r="B158">
            <v>40</v>
          </cell>
          <cell r="C158">
            <v>6</v>
          </cell>
          <cell r="D158">
            <v>7.11</v>
          </cell>
          <cell r="E158">
            <v>1</v>
          </cell>
          <cell r="I158">
            <v>0.61</v>
          </cell>
          <cell r="J158">
            <v>1.04</v>
          </cell>
          <cell r="K158">
            <v>1.65</v>
          </cell>
          <cell r="P158">
            <v>4</v>
          </cell>
        </row>
        <row r="159">
          <cell r="B159">
            <v>40</v>
          </cell>
          <cell r="C159">
            <v>8</v>
          </cell>
          <cell r="D159">
            <v>8.18</v>
          </cell>
          <cell r="E159">
            <v>1</v>
          </cell>
          <cell r="I159">
            <v>0.81</v>
          </cell>
          <cell r="J159">
            <v>1.73</v>
          </cell>
          <cell r="K159">
            <v>2.54</v>
          </cell>
          <cell r="P159">
            <v>4</v>
          </cell>
        </row>
        <row r="160">
          <cell r="B160">
            <v>40</v>
          </cell>
          <cell r="C160">
            <v>10</v>
          </cell>
          <cell r="D160">
            <v>9.27</v>
          </cell>
          <cell r="E160">
            <v>1</v>
          </cell>
          <cell r="I160">
            <v>1.01</v>
          </cell>
          <cell r="J160">
            <v>3.04</v>
          </cell>
          <cell r="K160">
            <v>4.05</v>
          </cell>
          <cell r="P160">
            <v>4</v>
          </cell>
        </row>
        <row r="161">
          <cell r="B161">
            <v>40</v>
          </cell>
          <cell r="C161">
            <v>12</v>
          </cell>
          <cell r="D161">
            <v>10.31</v>
          </cell>
          <cell r="E161">
            <v>1.25</v>
          </cell>
          <cell r="I161">
            <v>1.22</v>
          </cell>
          <cell r="J161">
            <v>4.0199999999999996</v>
          </cell>
          <cell r="K161">
            <v>5.2399999999999993</v>
          </cell>
          <cell r="P161">
            <v>6</v>
          </cell>
        </row>
        <row r="162">
          <cell r="B162">
            <v>40</v>
          </cell>
          <cell r="C162">
            <v>14</v>
          </cell>
          <cell r="D162">
            <v>11.13</v>
          </cell>
          <cell r="E162">
            <v>1.25</v>
          </cell>
          <cell r="I162">
            <v>1.42</v>
          </cell>
          <cell r="J162">
            <v>5.33</v>
          </cell>
          <cell r="K162">
            <v>6.75</v>
          </cell>
          <cell r="P162">
            <v>6</v>
          </cell>
        </row>
        <row r="163">
          <cell r="B163">
            <v>40</v>
          </cell>
          <cell r="C163">
            <v>16</v>
          </cell>
          <cell r="D163">
            <v>12.7</v>
          </cell>
          <cell r="E163">
            <v>1.25</v>
          </cell>
          <cell r="I163">
            <v>1.62</v>
          </cell>
          <cell r="J163">
            <v>8.42</v>
          </cell>
          <cell r="K163">
            <v>10.039999999999999</v>
          </cell>
          <cell r="P163">
            <v>6</v>
          </cell>
        </row>
        <row r="164">
          <cell r="B164">
            <v>40</v>
          </cell>
          <cell r="C164">
            <v>18</v>
          </cell>
          <cell r="D164">
            <v>14.27</v>
          </cell>
          <cell r="E164">
            <v>1.25</v>
          </cell>
          <cell r="I164">
            <v>1.82</v>
          </cell>
          <cell r="J164">
            <v>11.53</v>
          </cell>
          <cell r="K164">
            <v>13.35</v>
          </cell>
          <cell r="P164">
            <v>6</v>
          </cell>
        </row>
        <row r="165">
          <cell r="B165">
            <v>40</v>
          </cell>
          <cell r="C165">
            <v>20</v>
          </cell>
          <cell r="D165">
            <v>15.09</v>
          </cell>
          <cell r="E165">
            <v>1.5</v>
          </cell>
          <cell r="I165">
            <v>2.0299999999999998</v>
          </cell>
          <cell r="J165">
            <v>14.47</v>
          </cell>
          <cell r="K165">
            <v>16.5</v>
          </cell>
          <cell r="P165">
            <v>7</v>
          </cell>
        </row>
        <row r="166">
          <cell r="B166">
            <v>40</v>
          </cell>
          <cell r="C166">
            <v>24</v>
          </cell>
          <cell r="D166">
            <v>17.48</v>
          </cell>
          <cell r="E166">
            <v>1.5</v>
          </cell>
          <cell r="I166">
            <v>2.4300000000000002</v>
          </cell>
          <cell r="J166">
            <v>24.57</v>
          </cell>
          <cell r="K166">
            <v>27</v>
          </cell>
          <cell r="P166">
            <v>8</v>
          </cell>
        </row>
        <row r="167">
          <cell r="B167">
            <v>40</v>
          </cell>
          <cell r="C167">
            <v>32</v>
          </cell>
          <cell r="D167">
            <v>17.48</v>
          </cell>
          <cell r="E167">
            <v>1.5</v>
          </cell>
          <cell r="I167">
            <v>3.24</v>
          </cell>
          <cell r="J167">
            <v>31.26</v>
          </cell>
          <cell r="K167">
            <v>34.5</v>
          </cell>
          <cell r="P167">
            <v>11</v>
          </cell>
        </row>
        <row r="168">
          <cell r="B168">
            <v>40</v>
          </cell>
          <cell r="C168">
            <v>34</v>
          </cell>
          <cell r="D168">
            <v>17.48</v>
          </cell>
          <cell r="E168">
            <v>1.5</v>
          </cell>
          <cell r="I168">
            <v>3.45</v>
          </cell>
          <cell r="J168">
            <v>34.049999999999997</v>
          </cell>
          <cell r="K168">
            <v>37.5</v>
          </cell>
          <cell r="P168">
            <v>12</v>
          </cell>
        </row>
        <row r="169">
          <cell r="B169">
            <v>40</v>
          </cell>
          <cell r="C169">
            <v>36</v>
          </cell>
          <cell r="D169">
            <v>19.05</v>
          </cell>
          <cell r="E169">
            <v>2</v>
          </cell>
          <cell r="I169">
            <v>3.65</v>
          </cell>
          <cell r="J169">
            <v>41.34</v>
          </cell>
          <cell r="K169">
            <v>44.99</v>
          </cell>
          <cell r="P169">
            <v>12</v>
          </cell>
        </row>
        <row r="170">
          <cell r="B170" t="str">
            <v>40S</v>
          </cell>
          <cell r="C170">
            <v>0.125</v>
          </cell>
          <cell r="D170">
            <v>1.73</v>
          </cell>
          <cell r="E170">
            <v>1</v>
          </cell>
          <cell r="I170">
            <v>7.0000000000000007E-2</v>
          </cell>
          <cell r="K170">
            <v>7.0000000000000007E-2</v>
          </cell>
          <cell r="P170">
            <v>2</v>
          </cell>
        </row>
        <row r="171">
          <cell r="B171" t="str">
            <v>40S</v>
          </cell>
          <cell r="C171">
            <v>0.125</v>
          </cell>
          <cell r="D171">
            <v>1.73</v>
          </cell>
          <cell r="E171">
            <v>1</v>
          </cell>
          <cell r="I171">
            <v>7.0000000000000007E-2</v>
          </cell>
          <cell r="K171">
            <v>7.0000000000000007E-2</v>
          </cell>
          <cell r="P171">
            <v>2</v>
          </cell>
        </row>
        <row r="172">
          <cell r="B172" t="str">
            <v>40S</v>
          </cell>
          <cell r="C172">
            <v>0.125</v>
          </cell>
          <cell r="D172">
            <v>1.73</v>
          </cell>
          <cell r="E172">
            <v>1</v>
          </cell>
          <cell r="I172">
            <v>7.0000000000000007E-2</v>
          </cell>
          <cell r="K172">
            <v>7.0000000000000007E-2</v>
          </cell>
          <cell r="P172">
            <v>2</v>
          </cell>
        </row>
        <row r="173">
          <cell r="B173" t="str">
            <v>40S</v>
          </cell>
          <cell r="C173">
            <v>0.25</v>
          </cell>
          <cell r="D173">
            <v>2.2400000000000002</v>
          </cell>
          <cell r="E173">
            <v>1</v>
          </cell>
          <cell r="I173">
            <v>7.0000000000000007E-2</v>
          </cell>
          <cell r="K173">
            <v>7.0000000000000007E-2</v>
          </cell>
          <cell r="P173">
            <v>2</v>
          </cell>
        </row>
        <row r="174">
          <cell r="B174" t="str">
            <v>40S</v>
          </cell>
          <cell r="C174">
            <v>0.25</v>
          </cell>
          <cell r="D174">
            <v>2.2400000000000002</v>
          </cell>
          <cell r="E174">
            <v>1</v>
          </cell>
          <cell r="I174">
            <v>7.0000000000000007E-2</v>
          </cell>
          <cell r="K174">
            <v>7.0000000000000007E-2</v>
          </cell>
          <cell r="P174">
            <v>2</v>
          </cell>
        </row>
        <row r="175">
          <cell r="B175" t="str">
            <v>40S</v>
          </cell>
          <cell r="C175">
            <v>0.25</v>
          </cell>
          <cell r="D175">
            <v>2.2400000000000002</v>
          </cell>
          <cell r="E175">
            <v>1</v>
          </cell>
          <cell r="I175">
            <v>7.0000000000000007E-2</v>
          </cell>
          <cell r="K175">
            <v>7.0000000000000007E-2</v>
          </cell>
          <cell r="P175">
            <v>2</v>
          </cell>
        </row>
        <row r="176">
          <cell r="B176" t="str">
            <v>40S</v>
          </cell>
          <cell r="C176">
            <v>0.375</v>
          </cell>
          <cell r="D176">
            <v>2.31</v>
          </cell>
          <cell r="E176">
            <v>1</v>
          </cell>
          <cell r="I176">
            <v>7.0000000000000007E-2</v>
          </cell>
          <cell r="K176">
            <v>7.0000000000000007E-2</v>
          </cell>
          <cell r="P176">
            <v>2</v>
          </cell>
        </row>
        <row r="177">
          <cell r="B177" t="str">
            <v>40S</v>
          </cell>
          <cell r="C177">
            <v>0.375</v>
          </cell>
          <cell r="D177">
            <v>2.31</v>
          </cell>
          <cell r="E177">
            <v>1</v>
          </cell>
          <cell r="I177">
            <v>7.0000000000000007E-2</v>
          </cell>
          <cell r="K177">
            <v>7.0000000000000007E-2</v>
          </cell>
          <cell r="P177">
            <v>2</v>
          </cell>
        </row>
        <row r="178">
          <cell r="B178" t="str">
            <v>40S</v>
          </cell>
          <cell r="C178">
            <v>0.375</v>
          </cell>
          <cell r="D178">
            <v>2.31</v>
          </cell>
          <cell r="E178">
            <v>1</v>
          </cell>
          <cell r="I178">
            <v>7.0000000000000007E-2</v>
          </cell>
          <cell r="K178">
            <v>7.0000000000000007E-2</v>
          </cell>
          <cell r="P178">
            <v>2</v>
          </cell>
        </row>
        <row r="179">
          <cell r="B179" t="str">
            <v>40S</v>
          </cell>
          <cell r="C179">
            <v>0.5</v>
          </cell>
          <cell r="D179">
            <v>2.77</v>
          </cell>
          <cell r="E179">
            <v>1</v>
          </cell>
          <cell r="I179">
            <v>7.0000000000000007E-2</v>
          </cell>
          <cell r="J179">
            <v>0</v>
          </cell>
          <cell r="K179">
            <v>7.0000000000000007E-2</v>
          </cell>
          <cell r="P179">
            <v>2</v>
          </cell>
        </row>
        <row r="180">
          <cell r="B180" t="str">
            <v>40S</v>
          </cell>
          <cell r="C180">
            <v>0.5</v>
          </cell>
          <cell r="D180">
            <v>2.77</v>
          </cell>
          <cell r="E180">
            <v>1</v>
          </cell>
          <cell r="I180">
            <v>7.0000000000000007E-2</v>
          </cell>
          <cell r="J180">
            <v>0</v>
          </cell>
          <cell r="K180">
            <v>7.0000000000000007E-2</v>
          </cell>
          <cell r="P180">
            <v>2</v>
          </cell>
        </row>
        <row r="181">
          <cell r="B181" t="str">
            <v>40S</v>
          </cell>
          <cell r="C181">
            <v>0.5</v>
          </cell>
          <cell r="D181">
            <v>2.77</v>
          </cell>
          <cell r="E181">
            <v>1</v>
          </cell>
          <cell r="I181">
            <v>7.0000000000000007E-2</v>
          </cell>
          <cell r="J181">
            <v>0</v>
          </cell>
          <cell r="K181">
            <v>7.0000000000000007E-2</v>
          </cell>
          <cell r="P181">
            <v>2</v>
          </cell>
        </row>
        <row r="182">
          <cell r="B182" t="str">
            <v>40S</v>
          </cell>
          <cell r="C182">
            <v>0.75</v>
          </cell>
          <cell r="D182">
            <v>2.87</v>
          </cell>
          <cell r="E182">
            <v>1</v>
          </cell>
          <cell r="I182">
            <v>7.0000000000000007E-2</v>
          </cell>
          <cell r="J182">
            <v>0</v>
          </cell>
          <cell r="K182">
            <v>7.0000000000000007E-2</v>
          </cell>
          <cell r="P182">
            <v>2</v>
          </cell>
        </row>
        <row r="183">
          <cell r="B183" t="str">
            <v>40S</v>
          </cell>
          <cell r="C183">
            <v>0.75</v>
          </cell>
          <cell r="D183">
            <v>2.87</v>
          </cell>
          <cell r="E183">
            <v>1</v>
          </cell>
          <cell r="I183">
            <v>7.0000000000000007E-2</v>
          </cell>
          <cell r="J183">
            <v>0</v>
          </cell>
          <cell r="K183">
            <v>7.0000000000000007E-2</v>
          </cell>
          <cell r="P183">
            <v>2</v>
          </cell>
        </row>
        <row r="184">
          <cell r="B184" t="str">
            <v>40S</v>
          </cell>
          <cell r="C184">
            <v>0.75</v>
          </cell>
          <cell r="D184">
            <v>2.87</v>
          </cell>
          <cell r="E184">
            <v>1</v>
          </cell>
          <cell r="I184">
            <v>7.0000000000000007E-2</v>
          </cell>
          <cell r="J184">
            <v>0</v>
          </cell>
          <cell r="K184">
            <v>7.0000000000000007E-2</v>
          </cell>
          <cell r="P184">
            <v>2</v>
          </cell>
        </row>
        <row r="185">
          <cell r="B185" t="str">
            <v>40S</v>
          </cell>
          <cell r="C185">
            <v>1</v>
          </cell>
          <cell r="D185">
            <v>3.38</v>
          </cell>
          <cell r="E185">
            <v>1</v>
          </cell>
          <cell r="I185">
            <v>0.12</v>
          </cell>
          <cell r="J185">
            <v>0</v>
          </cell>
          <cell r="K185">
            <v>0.12</v>
          </cell>
          <cell r="P185">
            <v>2</v>
          </cell>
        </row>
        <row r="186">
          <cell r="B186" t="str">
            <v>40S</v>
          </cell>
          <cell r="C186">
            <v>1</v>
          </cell>
          <cell r="D186">
            <v>3.38</v>
          </cell>
          <cell r="E186">
            <v>1</v>
          </cell>
          <cell r="I186">
            <v>0.12</v>
          </cell>
          <cell r="J186">
            <v>0</v>
          </cell>
          <cell r="K186">
            <v>0.12</v>
          </cell>
          <cell r="P186">
            <v>2</v>
          </cell>
        </row>
        <row r="187">
          <cell r="B187" t="str">
            <v>40S</v>
          </cell>
          <cell r="C187">
            <v>1</v>
          </cell>
          <cell r="D187">
            <v>3.38</v>
          </cell>
          <cell r="E187">
            <v>1</v>
          </cell>
          <cell r="I187">
            <v>0.12</v>
          </cell>
          <cell r="J187">
            <v>0</v>
          </cell>
          <cell r="K187">
            <v>0.12</v>
          </cell>
          <cell r="P187">
            <v>2</v>
          </cell>
        </row>
        <row r="188">
          <cell r="B188" t="str">
            <v>40S</v>
          </cell>
          <cell r="C188">
            <v>1.25</v>
          </cell>
          <cell r="D188">
            <v>3.56</v>
          </cell>
          <cell r="E188">
            <v>1</v>
          </cell>
          <cell r="I188">
            <v>0.15</v>
          </cell>
          <cell r="K188">
            <v>0.15</v>
          </cell>
          <cell r="P188">
            <v>2</v>
          </cell>
        </row>
        <row r="189">
          <cell r="B189" t="str">
            <v>40S</v>
          </cell>
          <cell r="C189">
            <v>1.25</v>
          </cell>
          <cell r="D189">
            <v>3.56</v>
          </cell>
          <cell r="E189">
            <v>1</v>
          </cell>
          <cell r="I189">
            <v>0.15</v>
          </cell>
          <cell r="K189">
            <v>0.15</v>
          </cell>
          <cell r="P189">
            <v>2</v>
          </cell>
        </row>
        <row r="190">
          <cell r="B190" t="str">
            <v>40S</v>
          </cell>
          <cell r="C190">
            <v>1.25</v>
          </cell>
          <cell r="D190">
            <v>3.56</v>
          </cell>
          <cell r="E190">
            <v>1</v>
          </cell>
          <cell r="I190">
            <v>0.15</v>
          </cell>
          <cell r="K190">
            <v>0.15</v>
          </cell>
          <cell r="P190">
            <v>2</v>
          </cell>
        </row>
        <row r="191">
          <cell r="B191" t="str">
            <v>40S</v>
          </cell>
          <cell r="C191">
            <v>1.5</v>
          </cell>
          <cell r="D191">
            <v>3.68</v>
          </cell>
          <cell r="E191">
            <v>1</v>
          </cell>
          <cell r="I191">
            <v>0.15</v>
          </cell>
          <cell r="J191">
            <v>0</v>
          </cell>
          <cell r="K191">
            <v>0.15</v>
          </cell>
          <cell r="P191">
            <v>2</v>
          </cell>
        </row>
        <row r="192">
          <cell r="B192" t="str">
            <v>40S</v>
          </cell>
          <cell r="C192">
            <v>1.5</v>
          </cell>
          <cell r="D192">
            <v>3.68</v>
          </cell>
          <cell r="E192">
            <v>1</v>
          </cell>
          <cell r="I192">
            <v>0.15</v>
          </cell>
          <cell r="J192">
            <v>0</v>
          </cell>
          <cell r="K192">
            <v>0.15</v>
          </cell>
          <cell r="P192">
            <v>2</v>
          </cell>
        </row>
        <row r="193">
          <cell r="B193" t="str">
            <v>40S</v>
          </cell>
          <cell r="C193">
            <v>1.5</v>
          </cell>
          <cell r="D193">
            <v>3.68</v>
          </cell>
          <cell r="E193">
            <v>1</v>
          </cell>
          <cell r="I193">
            <v>0.15</v>
          </cell>
          <cell r="J193">
            <v>0</v>
          </cell>
          <cell r="K193">
            <v>0.15</v>
          </cell>
          <cell r="P193">
            <v>2</v>
          </cell>
        </row>
        <row r="194">
          <cell r="B194" t="str">
            <v>40S</v>
          </cell>
          <cell r="C194">
            <v>2</v>
          </cell>
          <cell r="D194">
            <v>3.91</v>
          </cell>
          <cell r="E194">
            <v>1</v>
          </cell>
          <cell r="I194">
            <v>0.3</v>
          </cell>
          <cell r="J194">
            <v>0</v>
          </cell>
          <cell r="K194">
            <v>0.3</v>
          </cell>
          <cell r="P194">
            <v>2</v>
          </cell>
        </row>
        <row r="195">
          <cell r="B195" t="str">
            <v>40S</v>
          </cell>
          <cell r="C195">
            <v>2</v>
          </cell>
          <cell r="D195">
            <v>3.91</v>
          </cell>
          <cell r="E195">
            <v>1</v>
          </cell>
          <cell r="I195">
            <v>0.3</v>
          </cell>
          <cell r="J195">
            <v>0</v>
          </cell>
          <cell r="K195">
            <v>0.3</v>
          </cell>
          <cell r="P195">
            <v>2</v>
          </cell>
        </row>
        <row r="196">
          <cell r="B196" t="str">
            <v>40S</v>
          </cell>
          <cell r="C196">
            <v>2</v>
          </cell>
          <cell r="D196">
            <v>3.91</v>
          </cell>
          <cell r="E196">
            <v>1</v>
          </cell>
          <cell r="I196">
            <v>0.3</v>
          </cell>
          <cell r="J196">
            <v>0</v>
          </cell>
          <cell r="K196">
            <v>0.3</v>
          </cell>
          <cell r="P196">
            <v>2</v>
          </cell>
        </row>
        <row r="197">
          <cell r="B197" t="str">
            <v>40S</v>
          </cell>
          <cell r="C197">
            <v>2.5</v>
          </cell>
          <cell r="D197">
            <v>5.16</v>
          </cell>
          <cell r="E197">
            <v>1</v>
          </cell>
          <cell r="I197">
            <v>0.25</v>
          </cell>
          <cell r="J197">
            <v>0.2</v>
          </cell>
          <cell r="K197">
            <v>0.45</v>
          </cell>
          <cell r="P197">
            <v>2</v>
          </cell>
        </row>
        <row r="198">
          <cell r="B198" t="str">
            <v>40S</v>
          </cell>
          <cell r="C198">
            <v>3</v>
          </cell>
          <cell r="D198">
            <v>5.49</v>
          </cell>
          <cell r="E198">
            <v>1</v>
          </cell>
          <cell r="I198">
            <v>0.3</v>
          </cell>
          <cell r="J198">
            <v>0.3</v>
          </cell>
          <cell r="K198">
            <v>0.6</v>
          </cell>
          <cell r="P198">
            <v>2</v>
          </cell>
        </row>
        <row r="199">
          <cell r="B199" t="str">
            <v>40S</v>
          </cell>
          <cell r="C199">
            <v>3.5</v>
          </cell>
          <cell r="D199">
            <v>5.74</v>
          </cell>
          <cell r="E199">
            <v>1</v>
          </cell>
          <cell r="I199">
            <v>0.35</v>
          </cell>
          <cell r="J199">
            <v>0.4</v>
          </cell>
          <cell r="K199">
            <v>0.75</v>
          </cell>
          <cell r="P199">
            <v>3</v>
          </cell>
        </row>
        <row r="200">
          <cell r="B200" t="str">
            <v>40S</v>
          </cell>
          <cell r="C200">
            <v>4</v>
          </cell>
          <cell r="D200">
            <v>6.02</v>
          </cell>
          <cell r="E200">
            <v>1</v>
          </cell>
          <cell r="I200">
            <v>0.41</v>
          </cell>
          <cell r="J200">
            <v>0.49</v>
          </cell>
          <cell r="K200">
            <v>0.89999999999999991</v>
          </cell>
          <cell r="P200">
            <v>3</v>
          </cell>
        </row>
        <row r="201">
          <cell r="B201" t="str">
            <v>40S</v>
          </cell>
          <cell r="C201">
            <v>5</v>
          </cell>
          <cell r="D201">
            <v>6.55</v>
          </cell>
          <cell r="E201">
            <v>1</v>
          </cell>
          <cell r="I201">
            <v>0.51</v>
          </cell>
          <cell r="J201">
            <v>0.54</v>
          </cell>
          <cell r="K201">
            <v>1.05</v>
          </cell>
          <cell r="P201">
            <v>4</v>
          </cell>
        </row>
        <row r="202">
          <cell r="B202" t="str">
            <v>40S</v>
          </cell>
          <cell r="C202">
            <v>6</v>
          </cell>
          <cell r="D202">
            <v>7.11</v>
          </cell>
          <cell r="E202">
            <v>1</v>
          </cell>
          <cell r="I202">
            <v>0.61</v>
          </cell>
          <cell r="J202">
            <v>1.04</v>
          </cell>
          <cell r="K202">
            <v>1.65</v>
          </cell>
          <cell r="P202">
            <v>4</v>
          </cell>
        </row>
        <row r="203">
          <cell r="B203" t="str">
            <v>40S</v>
          </cell>
          <cell r="C203">
            <v>8</v>
          </cell>
          <cell r="D203">
            <v>8.18</v>
          </cell>
          <cell r="E203">
            <v>1</v>
          </cell>
          <cell r="I203">
            <v>0.81</v>
          </cell>
          <cell r="J203">
            <v>1.73</v>
          </cell>
          <cell r="K203">
            <v>2.54</v>
          </cell>
          <cell r="P203">
            <v>4</v>
          </cell>
        </row>
        <row r="204">
          <cell r="B204" t="str">
            <v>40S</v>
          </cell>
          <cell r="C204">
            <v>10</v>
          </cell>
          <cell r="D204">
            <v>9.27</v>
          </cell>
          <cell r="E204">
            <v>1</v>
          </cell>
          <cell r="I204">
            <v>1.01</v>
          </cell>
          <cell r="J204">
            <v>3.04</v>
          </cell>
          <cell r="K204">
            <v>4.05</v>
          </cell>
          <cell r="P204">
            <v>4</v>
          </cell>
        </row>
        <row r="205">
          <cell r="B205" t="str">
            <v>40S</v>
          </cell>
          <cell r="C205">
            <v>12</v>
          </cell>
          <cell r="D205">
            <v>9.5299999999999994</v>
          </cell>
          <cell r="E205">
            <v>1</v>
          </cell>
          <cell r="I205">
            <v>1.22</v>
          </cell>
          <cell r="J205">
            <v>3.28</v>
          </cell>
          <cell r="K205">
            <v>4.5</v>
          </cell>
          <cell r="P205">
            <v>6</v>
          </cell>
        </row>
        <row r="206">
          <cell r="B206">
            <v>60</v>
          </cell>
          <cell r="C206">
            <v>8</v>
          </cell>
          <cell r="D206">
            <v>10.31</v>
          </cell>
          <cell r="E206">
            <v>1.25</v>
          </cell>
          <cell r="I206">
            <v>0.81</v>
          </cell>
          <cell r="J206">
            <v>2.64</v>
          </cell>
          <cell r="K206">
            <v>3.45</v>
          </cell>
          <cell r="P206">
            <v>4</v>
          </cell>
        </row>
        <row r="207">
          <cell r="B207">
            <v>60</v>
          </cell>
          <cell r="C207">
            <v>10</v>
          </cell>
          <cell r="D207">
            <v>12.7</v>
          </cell>
          <cell r="E207">
            <v>1.25</v>
          </cell>
          <cell r="I207">
            <v>1.01</v>
          </cell>
          <cell r="J207">
            <v>5.74</v>
          </cell>
          <cell r="K207">
            <v>6.75</v>
          </cell>
          <cell r="P207">
            <v>4</v>
          </cell>
        </row>
        <row r="208">
          <cell r="B208">
            <v>60</v>
          </cell>
          <cell r="C208">
            <v>12</v>
          </cell>
          <cell r="D208">
            <v>14.27</v>
          </cell>
          <cell r="E208">
            <v>1.25</v>
          </cell>
          <cell r="I208">
            <v>1.22</v>
          </cell>
          <cell r="J208">
            <v>8.3800000000000008</v>
          </cell>
          <cell r="K208">
            <v>9.6000000000000014</v>
          </cell>
          <cell r="P208">
            <v>6</v>
          </cell>
        </row>
        <row r="209">
          <cell r="B209">
            <v>60</v>
          </cell>
          <cell r="C209">
            <v>14</v>
          </cell>
          <cell r="D209">
            <v>15.09</v>
          </cell>
          <cell r="E209">
            <v>1.5</v>
          </cell>
          <cell r="I209">
            <v>1.42</v>
          </cell>
          <cell r="J209">
            <v>9.9700000000000006</v>
          </cell>
          <cell r="K209">
            <v>11.39</v>
          </cell>
          <cell r="P209">
            <v>6</v>
          </cell>
        </row>
        <row r="210">
          <cell r="B210">
            <v>60</v>
          </cell>
          <cell r="C210">
            <v>16</v>
          </cell>
          <cell r="D210">
            <v>16.66</v>
          </cell>
          <cell r="E210">
            <v>1.5</v>
          </cell>
          <cell r="I210">
            <v>1.62</v>
          </cell>
          <cell r="J210">
            <v>14.88</v>
          </cell>
          <cell r="K210">
            <v>16.5</v>
          </cell>
          <cell r="P210">
            <v>6</v>
          </cell>
        </row>
        <row r="211">
          <cell r="B211">
            <v>60</v>
          </cell>
          <cell r="C211">
            <v>18</v>
          </cell>
          <cell r="D211">
            <v>19.05</v>
          </cell>
          <cell r="E211">
            <v>2</v>
          </cell>
          <cell r="I211">
            <v>1.82</v>
          </cell>
          <cell r="J211">
            <v>20.67</v>
          </cell>
          <cell r="K211">
            <v>22.490000000000002</v>
          </cell>
          <cell r="P211">
            <v>6</v>
          </cell>
        </row>
        <row r="212">
          <cell r="B212">
            <v>60</v>
          </cell>
          <cell r="C212">
            <v>20</v>
          </cell>
          <cell r="D212">
            <v>20.62</v>
          </cell>
          <cell r="E212">
            <v>2</v>
          </cell>
          <cell r="I212">
            <v>2.0299999999999998</v>
          </cell>
          <cell r="J212">
            <v>23.47</v>
          </cell>
          <cell r="K212">
            <v>25.5</v>
          </cell>
          <cell r="P212">
            <v>7</v>
          </cell>
        </row>
        <row r="213">
          <cell r="B213">
            <v>60</v>
          </cell>
          <cell r="C213">
            <v>22</v>
          </cell>
          <cell r="D213">
            <v>22.23</v>
          </cell>
          <cell r="E213">
            <v>2</v>
          </cell>
          <cell r="I213">
            <v>2.23</v>
          </cell>
          <cell r="J213">
            <v>29.27</v>
          </cell>
          <cell r="K213">
            <v>31.5</v>
          </cell>
          <cell r="P213">
            <v>8</v>
          </cell>
        </row>
        <row r="214">
          <cell r="B214">
            <v>60</v>
          </cell>
          <cell r="C214">
            <v>24</v>
          </cell>
          <cell r="D214">
            <v>24.61</v>
          </cell>
          <cell r="E214">
            <v>2</v>
          </cell>
          <cell r="I214">
            <v>2.4300000000000002</v>
          </cell>
          <cell r="J214">
            <v>35.07</v>
          </cell>
          <cell r="K214">
            <v>37.5</v>
          </cell>
          <cell r="P214">
            <v>8</v>
          </cell>
        </row>
        <row r="215">
          <cell r="B215">
            <v>80</v>
          </cell>
          <cell r="C215">
            <v>0.125</v>
          </cell>
          <cell r="D215">
            <v>2.41</v>
          </cell>
          <cell r="E215">
            <v>1</v>
          </cell>
          <cell r="I215">
            <v>7.0000000000000007E-2</v>
          </cell>
          <cell r="K215">
            <v>7.0000000000000007E-2</v>
          </cell>
          <cell r="P215">
            <v>2</v>
          </cell>
        </row>
        <row r="216">
          <cell r="B216">
            <v>80</v>
          </cell>
          <cell r="C216">
            <v>0.125</v>
          </cell>
          <cell r="D216">
            <v>2.41</v>
          </cell>
          <cell r="E216">
            <v>1</v>
          </cell>
          <cell r="I216">
            <v>7.0000000000000007E-2</v>
          </cell>
          <cell r="K216">
            <v>7.0000000000000007E-2</v>
          </cell>
          <cell r="P216">
            <v>2</v>
          </cell>
        </row>
        <row r="217">
          <cell r="B217">
            <v>80</v>
          </cell>
          <cell r="C217">
            <v>0.125</v>
          </cell>
          <cell r="D217">
            <v>2.41</v>
          </cell>
          <cell r="E217">
            <v>1</v>
          </cell>
          <cell r="I217">
            <v>7.0000000000000007E-2</v>
          </cell>
          <cell r="K217">
            <v>7.0000000000000007E-2</v>
          </cell>
          <cell r="P217">
            <v>2</v>
          </cell>
        </row>
        <row r="218">
          <cell r="B218">
            <v>80</v>
          </cell>
          <cell r="C218">
            <v>0.25</v>
          </cell>
          <cell r="D218">
            <v>3.02</v>
          </cell>
          <cell r="E218">
            <v>1</v>
          </cell>
          <cell r="I218">
            <v>7.0000000000000007E-2</v>
          </cell>
          <cell r="K218">
            <v>7.0000000000000007E-2</v>
          </cell>
          <cell r="P218">
            <v>2</v>
          </cell>
        </row>
        <row r="219">
          <cell r="B219">
            <v>80</v>
          </cell>
          <cell r="C219">
            <v>0.25</v>
          </cell>
          <cell r="D219">
            <v>3.02</v>
          </cell>
          <cell r="E219">
            <v>1</v>
          </cell>
          <cell r="I219">
            <v>7.0000000000000007E-2</v>
          </cell>
          <cell r="K219">
            <v>7.0000000000000007E-2</v>
          </cell>
          <cell r="P219">
            <v>2</v>
          </cell>
        </row>
        <row r="220">
          <cell r="B220">
            <v>80</v>
          </cell>
          <cell r="C220">
            <v>0.25</v>
          </cell>
          <cell r="D220">
            <v>3.02</v>
          </cell>
          <cell r="E220">
            <v>1</v>
          </cell>
          <cell r="I220">
            <v>7.0000000000000007E-2</v>
          </cell>
          <cell r="K220">
            <v>7.0000000000000007E-2</v>
          </cell>
          <cell r="P220">
            <v>2</v>
          </cell>
        </row>
        <row r="221">
          <cell r="B221">
            <v>80</v>
          </cell>
          <cell r="C221">
            <v>0.375</v>
          </cell>
          <cell r="D221">
            <v>3.2</v>
          </cell>
          <cell r="E221">
            <v>1</v>
          </cell>
          <cell r="I221">
            <v>7.0000000000000007E-2</v>
          </cell>
          <cell r="J221">
            <v>0</v>
          </cell>
          <cell r="K221">
            <v>7.0000000000000007E-2</v>
          </cell>
          <cell r="P221">
            <v>2</v>
          </cell>
        </row>
        <row r="222">
          <cell r="B222">
            <v>80</v>
          </cell>
          <cell r="C222">
            <v>0.375</v>
          </cell>
          <cell r="D222">
            <v>3.2</v>
          </cell>
          <cell r="E222">
            <v>1</v>
          </cell>
          <cell r="I222">
            <v>7.0000000000000007E-2</v>
          </cell>
          <cell r="J222">
            <v>0</v>
          </cell>
          <cell r="K222">
            <v>7.0000000000000007E-2</v>
          </cell>
          <cell r="P222">
            <v>2</v>
          </cell>
        </row>
        <row r="223">
          <cell r="B223">
            <v>80</v>
          </cell>
          <cell r="C223">
            <v>0.375</v>
          </cell>
          <cell r="D223">
            <v>3.2</v>
          </cell>
          <cell r="E223">
            <v>1</v>
          </cell>
          <cell r="I223">
            <v>7.0000000000000007E-2</v>
          </cell>
          <cell r="J223">
            <v>0</v>
          </cell>
          <cell r="K223">
            <v>7.0000000000000007E-2</v>
          </cell>
          <cell r="P223">
            <v>2</v>
          </cell>
        </row>
        <row r="224">
          <cell r="B224">
            <v>80</v>
          </cell>
          <cell r="C224">
            <v>0.5</v>
          </cell>
          <cell r="D224">
            <v>3.73</v>
          </cell>
          <cell r="E224">
            <v>1</v>
          </cell>
          <cell r="I224">
            <v>7.0000000000000007E-2</v>
          </cell>
          <cell r="J224">
            <v>0</v>
          </cell>
          <cell r="K224">
            <v>7.0000000000000007E-2</v>
          </cell>
          <cell r="P224">
            <v>2</v>
          </cell>
        </row>
        <row r="225">
          <cell r="B225">
            <v>80</v>
          </cell>
          <cell r="C225">
            <v>0.5</v>
          </cell>
          <cell r="D225">
            <v>3.73</v>
          </cell>
          <cell r="E225">
            <v>1</v>
          </cell>
          <cell r="I225">
            <v>7.0000000000000007E-2</v>
          </cell>
          <cell r="J225">
            <v>0</v>
          </cell>
          <cell r="K225">
            <v>7.0000000000000007E-2</v>
          </cell>
          <cell r="P225">
            <v>2</v>
          </cell>
        </row>
        <row r="226">
          <cell r="B226">
            <v>80</v>
          </cell>
          <cell r="C226">
            <v>0.5</v>
          </cell>
          <cell r="D226">
            <v>3.73</v>
          </cell>
          <cell r="E226">
            <v>1</v>
          </cell>
          <cell r="I226">
            <v>7.0000000000000007E-2</v>
          </cell>
          <cell r="J226">
            <v>0</v>
          </cell>
          <cell r="K226">
            <v>7.0000000000000007E-2</v>
          </cell>
          <cell r="P226">
            <v>2</v>
          </cell>
        </row>
        <row r="227">
          <cell r="B227">
            <v>80</v>
          </cell>
          <cell r="C227">
            <v>0.75</v>
          </cell>
          <cell r="D227">
            <v>3.91</v>
          </cell>
          <cell r="E227">
            <v>1</v>
          </cell>
          <cell r="I227">
            <v>7.0000000000000007E-2</v>
          </cell>
          <cell r="J227">
            <v>0</v>
          </cell>
          <cell r="K227">
            <v>7.0000000000000007E-2</v>
          </cell>
          <cell r="P227">
            <v>2</v>
          </cell>
        </row>
        <row r="228">
          <cell r="B228">
            <v>80</v>
          </cell>
          <cell r="C228">
            <v>0.75</v>
          </cell>
          <cell r="D228">
            <v>3.91</v>
          </cell>
          <cell r="E228">
            <v>1</v>
          </cell>
          <cell r="I228">
            <v>7.0000000000000007E-2</v>
          </cell>
          <cell r="J228">
            <v>0</v>
          </cell>
          <cell r="K228">
            <v>7.0000000000000007E-2</v>
          </cell>
          <cell r="P228">
            <v>2</v>
          </cell>
        </row>
        <row r="229">
          <cell r="B229">
            <v>80</v>
          </cell>
          <cell r="C229">
            <v>0.75</v>
          </cell>
          <cell r="D229">
            <v>3.91</v>
          </cell>
          <cell r="E229">
            <v>1</v>
          </cell>
          <cell r="I229">
            <v>7.0000000000000007E-2</v>
          </cell>
          <cell r="J229">
            <v>0</v>
          </cell>
          <cell r="K229">
            <v>7.0000000000000007E-2</v>
          </cell>
          <cell r="P229">
            <v>2</v>
          </cell>
        </row>
        <row r="230">
          <cell r="B230">
            <v>80</v>
          </cell>
          <cell r="C230">
            <v>1</v>
          </cell>
          <cell r="D230">
            <v>4.55</v>
          </cell>
          <cell r="E230">
            <v>1</v>
          </cell>
          <cell r="I230">
            <v>0.15</v>
          </cell>
          <cell r="J230">
            <v>0</v>
          </cell>
          <cell r="K230">
            <v>0.15</v>
          </cell>
          <cell r="P230">
            <v>2</v>
          </cell>
        </row>
        <row r="231">
          <cell r="B231">
            <v>80</v>
          </cell>
          <cell r="C231">
            <v>1</v>
          </cell>
          <cell r="D231">
            <v>4.55</v>
          </cell>
          <cell r="E231">
            <v>1</v>
          </cell>
          <cell r="I231">
            <v>0.15</v>
          </cell>
          <cell r="J231">
            <v>0</v>
          </cell>
          <cell r="K231">
            <v>0.15</v>
          </cell>
          <cell r="P231">
            <v>2</v>
          </cell>
        </row>
        <row r="232">
          <cell r="B232">
            <v>80</v>
          </cell>
          <cell r="C232">
            <v>1</v>
          </cell>
          <cell r="D232">
            <v>4.55</v>
          </cell>
          <cell r="E232">
            <v>1</v>
          </cell>
          <cell r="I232">
            <v>0.15</v>
          </cell>
          <cell r="J232">
            <v>0</v>
          </cell>
          <cell r="K232">
            <v>0.15</v>
          </cell>
          <cell r="P232">
            <v>2</v>
          </cell>
        </row>
        <row r="233">
          <cell r="B233">
            <v>80</v>
          </cell>
          <cell r="C233">
            <v>1.25</v>
          </cell>
          <cell r="D233">
            <v>4.8499999999999996</v>
          </cell>
          <cell r="E233">
            <v>1</v>
          </cell>
          <cell r="I233">
            <v>0.13</v>
          </cell>
          <cell r="J233">
            <v>0.17</v>
          </cell>
          <cell r="K233">
            <v>0.30000000000000004</v>
          </cell>
          <cell r="P233">
            <v>2</v>
          </cell>
        </row>
        <row r="234">
          <cell r="B234">
            <v>80</v>
          </cell>
          <cell r="C234">
            <v>1.25</v>
          </cell>
          <cell r="D234">
            <v>4.8499999999999996</v>
          </cell>
          <cell r="E234">
            <v>1</v>
          </cell>
          <cell r="I234">
            <v>0.13</v>
          </cell>
          <cell r="J234">
            <v>0.17</v>
          </cell>
          <cell r="K234">
            <v>0.30000000000000004</v>
          </cell>
          <cell r="P234">
            <v>2</v>
          </cell>
        </row>
        <row r="235">
          <cell r="B235">
            <v>80</v>
          </cell>
          <cell r="C235">
            <v>1.25</v>
          </cell>
          <cell r="D235">
            <v>4.8499999999999996</v>
          </cell>
          <cell r="E235">
            <v>1</v>
          </cell>
          <cell r="I235">
            <v>0.13</v>
          </cell>
          <cell r="J235">
            <v>0.17</v>
          </cell>
          <cell r="K235">
            <v>0.30000000000000004</v>
          </cell>
          <cell r="P235">
            <v>2</v>
          </cell>
        </row>
        <row r="236">
          <cell r="B236">
            <v>80</v>
          </cell>
          <cell r="C236">
            <v>1.5</v>
          </cell>
          <cell r="D236">
            <v>5.08</v>
          </cell>
          <cell r="E236">
            <v>1</v>
          </cell>
          <cell r="I236">
            <v>0.15</v>
          </cell>
          <cell r="J236">
            <v>0.15</v>
          </cell>
          <cell r="K236">
            <v>0.3</v>
          </cell>
          <cell r="P236">
            <v>2</v>
          </cell>
        </row>
        <row r="237">
          <cell r="B237">
            <v>80</v>
          </cell>
          <cell r="C237">
            <v>1.5</v>
          </cell>
          <cell r="D237">
            <v>5.08</v>
          </cell>
          <cell r="E237">
            <v>1</v>
          </cell>
          <cell r="I237">
            <v>0.15</v>
          </cell>
          <cell r="J237">
            <v>0.15</v>
          </cell>
          <cell r="K237">
            <v>0.3</v>
          </cell>
          <cell r="P237">
            <v>2</v>
          </cell>
        </row>
        <row r="238">
          <cell r="B238">
            <v>80</v>
          </cell>
          <cell r="C238">
            <v>1.5</v>
          </cell>
          <cell r="D238">
            <v>5.08</v>
          </cell>
          <cell r="E238">
            <v>1</v>
          </cell>
          <cell r="I238">
            <v>0.15</v>
          </cell>
          <cell r="J238">
            <v>0.15</v>
          </cell>
          <cell r="K238">
            <v>0.3</v>
          </cell>
          <cell r="P238">
            <v>2</v>
          </cell>
        </row>
        <row r="239">
          <cell r="B239">
            <v>80</v>
          </cell>
          <cell r="C239">
            <v>2</v>
          </cell>
          <cell r="D239">
            <v>5.54</v>
          </cell>
          <cell r="E239">
            <v>1</v>
          </cell>
          <cell r="I239">
            <v>0.2</v>
          </cell>
          <cell r="J239">
            <v>0.25</v>
          </cell>
          <cell r="K239">
            <v>0.45</v>
          </cell>
          <cell r="P239">
            <v>2</v>
          </cell>
        </row>
        <row r="240">
          <cell r="B240">
            <v>80</v>
          </cell>
          <cell r="C240">
            <v>2</v>
          </cell>
          <cell r="D240">
            <v>5.54</v>
          </cell>
          <cell r="E240">
            <v>1</v>
          </cell>
          <cell r="I240">
            <v>0.2</v>
          </cell>
          <cell r="J240">
            <v>0.25</v>
          </cell>
          <cell r="K240">
            <v>0.45</v>
          </cell>
          <cell r="P240">
            <v>2</v>
          </cell>
        </row>
        <row r="241">
          <cell r="B241">
            <v>80</v>
          </cell>
          <cell r="C241">
            <v>2</v>
          </cell>
          <cell r="D241">
            <v>5.54</v>
          </cell>
          <cell r="E241">
            <v>1</v>
          </cell>
          <cell r="I241">
            <v>0.2</v>
          </cell>
          <cell r="J241">
            <v>0.25</v>
          </cell>
          <cell r="K241">
            <v>0.45</v>
          </cell>
          <cell r="P241">
            <v>2</v>
          </cell>
        </row>
        <row r="242">
          <cell r="B242">
            <v>80</v>
          </cell>
          <cell r="C242">
            <v>2.5</v>
          </cell>
          <cell r="D242">
            <v>7.01</v>
          </cell>
          <cell r="E242">
            <v>1</v>
          </cell>
          <cell r="I242">
            <v>0.25</v>
          </cell>
          <cell r="J242">
            <v>0.5</v>
          </cell>
          <cell r="K242">
            <v>0.75</v>
          </cell>
          <cell r="P242">
            <v>2</v>
          </cell>
        </row>
        <row r="243">
          <cell r="B243">
            <v>80</v>
          </cell>
          <cell r="C243">
            <v>3</v>
          </cell>
          <cell r="D243">
            <v>7.62</v>
          </cell>
          <cell r="E243">
            <v>1</v>
          </cell>
          <cell r="I243">
            <v>0.3</v>
          </cell>
          <cell r="J243">
            <v>0.6</v>
          </cell>
          <cell r="K243">
            <v>0.89999999999999991</v>
          </cell>
          <cell r="P243">
            <v>2</v>
          </cell>
        </row>
        <row r="244">
          <cell r="B244">
            <v>80</v>
          </cell>
          <cell r="C244">
            <v>3.5</v>
          </cell>
          <cell r="D244">
            <v>8.08</v>
          </cell>
          <cell r="E244">
            <v>1</v>
          </cell>
          <cell r="I244">
            <v>0.35</v>
          </cell>
          <cell r="J244">
            <v>0.85</v>
          </cell>
          <cell r="K244">
            <v>1.2</v>
          </cell>
          <cell r="P244">
            <v>3</v>
          </cell>
        </row>
        <row r="245">
          <cell r="B245">
            <v>80</v>
          </cell>
          <cell r="C245">
            <v>4</v>
          </cell>
          <cell r="D245">
            <v>8.56</v>
          </cell>
          <cell r="E245">
            <v>1</v>
          </cell>
          <cell r="I245">
            <v>0.41</v>
          </cell>
          <cell r="J245">
            <v>0.93</v>
          </cell>
          <cell r="K245">
            <v>1.34</v>
          </cell>
          <cell r="P245">
            <v>3</v>
          </cell>
        </row>
        <row r="246">
          <cell r="B246">
            <v>80</v>
          </cell>
          <cell r="C246">
            <v>5</v>
          </cell>
          <cell r="D246">
            <v>9.5299999999999994</v>
          </cell>
          <cell r="E246">
            <v>1</v>
          </cell>
          <cell r="I246">
            <v>0.51</v>
          </cell>
          <cell r="J246">
            <v>1.59</v>
          </cell>
          <cell r="K246">
            <v>2.1</v>
          </cell>
          <cell r="P246">
            <v>4</v>
          </cell>
        </row>
        <row r="247">
          <cell r="B247">
            <v>80</v>
          </cell>
          <cell r="C247">
            <v>6</v>
          </cell>
          <cell r="D247">
            <v>10.97</v>
          </cell>
          <cell r="E247">
            <v>1.25</v>
          </cell>
          <cell r="I247">
            <v>0.61</v>
          </cell>
          <cell r="J247">
            <v>2.69</v>
          </cell>
          <cell r="K247">
            <v>3.3</v>
          </cell>
          <cell r="P247">
            <v>4</v>
          </cell>
        </row>
        <row r="248">
          <cell r="B248">
            <v>80</v>
          </cell>
          <cell r="C248">
            <v>8</v>
          </cell>
          <cell r="D248">
            <v>12.7</v>
          </cell>
          <cell r="E248">
            <v>1.25</v>
          </cell>
          <cell r="I248">
            <v>0.81</v>
          </cell>
          <cell r="J248">
            <v>4.58</v>
          </cell>
          <cell r="K248">
            <v>5.3900000000000006</v>
          </cell>
          <cell r="P248">
            <v>4</v>
          </cell>
        </row>
        <row r="249">
          <cell r="B249">
            <v>80</v>
          </cell>
          <cell r="C249">
            <v>10</v>
          </cell>
          <cell r="D249">
            <v>15.09</v>
          </cell>
          <cell r="E249">
            <v>1.5</v>
          </cell>
          <cell r="I249">
            <v>1.01</v>
          </cell>
          <cell r="J249">
            <v>7.99</v>
          </cell>
          <cell r="K249">
            <v>9</v>
          </cell>
          <cell r="P249">
            <v>4</v>
          </cell>
        </row>
        <row r="250">
          <cell r="B250">
            <v>80</v>
          </cell>
          <cell r="C250">
            <v>12</v>
          </cell>
          <cell r="D250">
            <v>17.48</v>
          </cell>
          <cell r="E250">
            <v>1.5</v>
          </cell>
          <cell r="I250">
            <v>1.22</v>
          </cell>
          <cell r="J250">
            <v>11.68</v>
          </cell>
          <cell r="K250">
            <v>12.9</v>
          </cell>
          <cell r="P250">
            <v>6</v>
          </cell>
        </row>
        <row r="251">
          <cell r="B251">
            <v>80</v>
          </cell>
          <cell r="C251">
            <v>14</v>
          </cell>
          <cell r="D251">
            <v>19.05</v>
          </cell>
          <cell r="E251">
            <v>2</v>
          </cell>
          <cell r="I251">
            <v>1.42</v>
          </cell>
          <cell r="J251">
            <v>12.68</v>
          </cell>
          <cell r="K251">
            <v>14.1</v>
          </cell>
          <cell r="P251">
            <v>6</v>
          </cell>
        </row>
        <row r="252">
          <cell r="B252">
            <v>80</v>
          </cell>
          <cell r="C252">
            <v>16</v>
          </cell>
          <cell r="D252">
            <v>21.44</v>
          </cell>
          <cell r="E252">
            <v>2</v>
          </cell>
          <cell r="I252">
            <v>1.62</v>
          </cell>
          <cell r="J252">
            <v>19.37</v>
          </cell>
          <cell r="K252">
            <v>20.990000000000002</v>
          </cell>
          <cell r="P252">
            <v>6</v>
          </cell>
        </row>
        <row r="253">
          <cell r="B253">
            <v>80</v>
          </cell>
          <cell r="C253">
            <v>18</v>
          </cell>
          <cell r="D253">
            <v>23.83</v>
          </cell>
          <cell r="E253">
            <v>2</v>
          </cell>
          <cell r="I253">
            <v>1.82</v>
          </cell>
          <cell r="J253">
            <v>26.68</v>
          </cell>
          <cell r="K253">
            <v>28.5</v>
          </cell>
          <cell r="P253">
            <v>6</v>
          </cell>
        </row>
        <row r="254">
          <cell r="B254">
            <v>80</v>
          </cell>
          <cell r="C254">
            <v>20</v>
          </cell>
          <cell r="D254">
            <v>26.19</v>
          </cell>
          <cell r="E254" t="str">
            <v>N</v>
          </cell>
          <cell r="I254">
            <v>2.0299999999999998</v>
          </cell>
          <cell r="J254">
            <v>36.96</v>
          </cell>
          <cell r="K254">
            <v>38.99</v>
          </cell>
          <cell r="P254">
            <v>7</v>
          </cell>
        </row>
        <row r="255">
          <cell r="B255">
            <v>80</v>
          </cell>
          <cell r="C255">
            <v>22</v>
          </cell>
          <cell r="D255">
            <v>28.58</v>
          </cell>
          <cell r="E255" t="str">
            <v>N</v>
          </cell>
          <cell r="I255">
            <v>2.23</v>
          </cell>
          <cell r="J255">
            <v>45.77</v>
          </cell>
          <cell r="K255">
            <v>48</v>
          </cell>
          <cell r="P255">
            <v>8</v>
          </cell>
        </row>
        <row r="256">
          <cell r="B256">
            <v>80</v>
          </cell>
          <cell r="C256">
            <v>24</v>
          </cell>
          <cell r="D256">
            <v>30.96</v>
          </cell>
          <cell r="E256" t="str">
            <v>N</v>
          </cell>
          <cell r="I256">
            <v>2.4300000000000002</v>
          </cell>
          <cell r="J256">
            <v>53.07</v>
          </cell>
          <cell r="K256">
            <v>55.5</v>
          </cell>
          <cell r="P256">
            <v>8</v>
          </cell>
        </row>
        <row r="257">
          <cell r="B257" t="str">
            <v>80S</v>
          </cell>
          <cell r="C257">
            <v>0.125</v>
          </cell>
          <cell r="D257">
            <v>2.41</v>
          </cell>
          <cell r="E257">
            <v>1</v>
          </cell>
          <cell r="I257">
            <v>7.0000000000000007E-2</v>
          </cell>
          <cell r="K257">
            <v>7.0000000000000007E-2</v>
          </cell>
          <cell r="P257">
            <v>2</v>
          </cell>
        </row>
        <row r="258">
          <cell r="B258" t="str">
            <v>80S</v>
          </cell>
          <cell r="C258">
            <v>0.125</v>
          </cell>
          <cell r="D258">
            <v>2.41</v>
          </cell>
          <cell r="E258">
            <v>1</v>
          </cell>
          <cell r="I258">
            <v>7.0000000000000007E-2</v>
          </cell>
          <cell r="K258">
            <v>7.0000000000000007E-2</v>
          </cell>
          <cell r="P258">
            <v>2</v>
          </cell>
        </row>
        <row r="259">
          <cell r="B259" t="str">
            <v>80S</v>
          </cell>
          <cell r="C259">
            <v>0.125</v>
          </cell>
          <cell r="D259">
            <v>2.41</v>
          </cell>
          <cell r="E259">
            <v>1</v>
          </cell>
          <cell r="I259">
            <v>7.0000000000000007E-2</v>
          </cell>
          <cell r="K259">
            <v>7.0000000000000007E-2</v>
          </cell>
          <cell r="P259">
            <v>2</v>
          </cell>
        </row>
        <row r="260">
          <cell r="B260" t="str">
            <v>80S</v>
          </cell>
          <cell r="C260">
            <v>0.25</v>
          </cell>
          <cell r="D260">
            <v>3.02</v>
          </cell>
          <cell r="E260">
            <v>1</v>
          </cell>
          <cell r="I260">
            <v>7.0000000000000007E-2</v>
          </cell>
          <cell r="K260">
            <v>7.0000000000000007E-2</v>
          </cell>
          <cell r="P260">
            <v>2</v>
          </cell>
        </row>
        <row r="261">
          <cell r="B261" t="str">
            <v>80S</v>
          </cell>
          <cell r="C261">
            <v>0.25</v>
          </cell>
          <cell r="D261">
            <v>3.02</v>
          </cell>
          <cell r="E261">
            <v>1</v>
          </cell>
          <cell r="I261">
            <v>7.0000000000000007E-2</v>
          </cell>
          <cell r="K261">
            <v>7.0000000000000007E-2</v>
          </cell>
          <cell r="P261">
            <v>2</v>
          </cell>
        </row>
        <row r="262">
          <cell r="B262" t="str">
            <v>80S</v>
          </cell>
          <cell r="C262">
            <v>0.25</v>
          </cell>
          <cell r="D262">
            <v>3.02</v>
          </cell>
          <cell r="E262">
            <v>1</v>
          </cell>
          <cell r="I262">
            <v>7.0000000000000007E-2</v>
          </cell>
          <cell r="K262">
            <v>7.0000000000000007E-2</v>
          </cell>
          <cell r="P262">
            <v>2</v>
          </cell>
        </row>
        <row r="263">
          <cell r="B263" t="str">
            <v>80S</v>
          </cell>
          <cell r="C263">
            <v>0.375</v>
          </cell>
          <cell r="D263">
            <v>3.2</v>
          </cell>
          <cell r="E263">
            <v>1</v>
          </cell>
          <cell r="I263">
            <v>7.0000000000000007E-2</v>
          </cell>
          <cell r="J263">
            <v>0</v>
          </cell>
          <cell r="K263">
            <v>7.0000000000000007E-2</v>
          </cell>
          <cell r="P263">
            <v>2</v>
          </cell>
        </row>
        <row r="264">
          <cell r="B264" t="str">
            <v>80S</v>
          </cell>
          <cell r="C264">
            <v>0.375</v>
          </cell>
          <cell r="D264">
            <v>3.2</v>
          </cell>
          <cell r="E264">
            <v>1</v>
          </cell>
          <cell r="I264">
            <v>7.0000000000000007E-2</v>
          </cell>
          <cell r="J264">
            <v>0</v>
          </cell>
          <cell r="K264">
            <v>7.0000000000000007E-2</v>
          </cell>
          <cell r="P264">
            <v>2</v>
          </cell>
        </row>
        <row r="265">
          <cell r="B265" t="str">
            <v>80S</v>
          </cell>
          <cell r="C265">
            <v>0.375</v>
          </cell>
          <cell r="D265">
            <v>3.2</v>
          </cell>
          <cell r="E265">
            <v>1</v>
          </cell>
          <cell r="I265">
            <v>7.0000000000000007E-2</v>
          </cell>
          <cell r="J265">
            <v>0</v>
          </cell>
          <cell r="K265">
            <v>7.0000000000000007E-2</v>
          </cell>
          <cell r="P265">
            <v>2</v>
          </cell>
        </row>
        <row r="266">
          <cell r="B266" t="str">
            <v>80S</v>
          </cell>
          <cell r="C266">
            <v>0.5</v>
          </cell>
          <cell r="D266">
            <v>3.73</v>
          </cell>
          <cell r="E266">
            <v>1</v>
          </cell>
          <cell r="I266">
            <v>7.0000000000000007E-2</v>
          </cell>
          <cell r="J266">
            <v>0</v>
          </cell>
          <cell r="K266">
            <v>7.0000000000000007E-2</v>
          </cell>
          <cell r="P266">
            <v>2</v>
          </cell>
        </row>
        <row r="267">
          <cell r="B267" t="str">
            <v>80S</v>
          </cell>
          <cell r="C267">
            <v>0.5</v>
          </cell>
          <cell r="D267">
            <v>3.73</v>
          </cell>
          <cell r="E267">
            <v>1</v>
          </cell>
          <cell r="I267">
            <v>7.0000000000000007E-2</v>
          </cell>
          <cell r="J267">
            <v>0</v>
          </cell>
          <cell r="K267">
            <v>7.0000000000000007E-2</v>
          </cell>
          <cell r="P267">
            <v>2</v>
          </cell>
        </row>
        <row r="268">
          <cell r="B268" t="str">
            <v>80S</v>
          </cell>
          <cell r="C268">
            <v>0.5</v>
          </cell>
          <cell r="D268">
            <v>3.73</v>
          </cell>
          <cell r="E268">
            <v>1</v>
          </cell>
          <cell r="I268">
            <v>7.0000000000000007E-2</v>
          </cell>
          <cell r="J268">
            <v>0</v>
          </cell>
          <cell r="K268">
            <v>7.0000000000000007E-2</v>
          </cell>
          <cell r="P268">
            <v>2</v>
          </cell>
        </row>
        <row r="269">
          <cell r="B269" t="str">
            <v>80S</v>
          </cell>
          <cell r="C269">
            <v>0.75</v>
          </cell>
          <cell r="D269">
            <v>3.91</v>
          </cell>
          <cell r="E269">
            <v>1</v>
          </cell>
          <cell r="I269">
            <v>7.0000000000000007E-2</v>
          </cell>
          <cell r="J269">
            <v>0</v>
          </cell>
          <cell r="K269">
            <v>7.0000000000000007E-2</v>
          </cell>
          <cell r="P269">
            <v>2</v>
          </cell>
        </row>
        <row r="270">
          <cell r="B270" t="str">
            <v>80S</v>
          </cell>
          <cell r="C270">
            <v>0.75</v>
          </cell>
          <cell r="D270">
            <v>3.91</v>
          </cell>
          <cell r="E270">
            <v>1</v>
          </cell>
          <cell r="I270">
            <v>7.0000000000000007E-2</v>
          </cell>
          <cell r="J270">
            <v>0</v>
          </cell>
          <cell r="K270">
            <v>7.0000000000000007E-2</v>
          </cell>
          <cell r="P270">
            <v>2</v>
          </cell>
        </row>
        <row r="271">
          <cell r="B271" t="str">
            <v>80S</v>
          </cell>
          <cell r="C271">
            <v>0.75</v>
          </cell>
          <cell r="D271">
            <v>3.91</v>
          </cell>
          <cell r="E271">
            <v>1</v>
          </cell>
          <cell r="I271">
            <v>7.0000000000000007E-2</v>
          </cell>
          <cell r="J271">
            <v>0</v>
          </cell>
          <cell r="K271">
            <v>7.0000000000000007E-2</v>
          </cell>
          <cell r="P271">
            <v>2</v>
          </cell>
        </row>
        <row r="272">
          <cell r="B272" t="str">
            <v>80S</v>
          </cell>
          <cell r="C272">
            <v>1</v>
          </cell>
          <cell r="D272">
            <v>4.55</v>
          </cell>
          <cell r="E272">
            <v>1</v>
          </cell>
          <cell r="I272">
            <v>0.15</v>
          </cell>
          <cell r="J272">
            <v>0</v>
          </cell>
          <cell r="K272">
            <v>0.15</v>
          </cell>
          <cell r="P272">
            <v>2</v>
          </cell>
        </row>
        <row r="273">
          <cell r="B273" t="str">
            <v>80S</v>
          </cell>
          <cell r="C273">
            <v>1</v>
          </cell>
          <cell r="D273">
            <v>4.55</v>
          </cell>
          <cell r="E273">
            <v>1</v>
          </cell>
          <cell r="I273">
            <v>0.15</v>
          </cell>
          <cell r="J273">
            <v>0</v>
          </cell>
          <cell r="K273">
            <v>0.15</v>
          </cell>
          <cell r="P273">
            <v>2</v>
          </cell>
        </row>
        <row r="274">
          <cell r="B274" t="str">
            <v>80S</v>
          </cell>
          <cell r="C274">
            <v>1</v>
          </cell>
          <cell r="D274">
            <v>4.55</v>
          </cell>
          <cell r="E274">
            <v>1</v>
          </cell>
          <cell r="I274">
            <v>0.15</v>
          </cell>
          <cell r="J274">
            <v>0</v>
          </cell>
          <cell r="K274">
            <v>0.15</v>
          </cell>
          <cell r="P274">
            <v>2</v>
          </cell>
        </row>
        <row r="275">
          <cell r="B275" t="str">
            <v>80S</v>
          </cell>
          <cell r="C275">
            <v>1.25</v>
          </cell>
          <cell r="D275">
            <v>4.8499999999999996</v>
          </cell>
          <cell r="E275">
            <v>1</v>
          </cell>
          <cell r="I275">
            <v>0.13</v>
          </cell>
          <cell r="J275">
            <v>0.17</v>
          </cell>
          <cell r="K275">
            <v>0.30000000000000004</v>
          </cell>
          <cell r="P275">
            <v>2</v>
          </cell>
        </row>
        <row r="276">
          <cell r="B276" t="str">
            <v>80S</v>
          </cell>
          <cell r="C276">
            <v>1.25</v>
          </cell>
          <cell r="D276">
            <v>4.8499999999999996</v>
          </cell>
          <cell r="E276">
            <v>1</v>
          </cell>
          <cell r="I276">
            <v>0.13</v>
          </cell>
          <cell r="J276">
            <v>0.17</v>
          </cell>
          <cell r="K276">
            <v>0.30000000000000004</v>
          </cell>
          <cell r="P276">
            <v>2</v>
          </cell>
        </row>
        <row r="277">
          <cell r="B277" t="str">
            <v>80S</v>
          </cell>
          <cell r="C277">
            <v>1.25</v>
          </cell>
          <cell r="D277">
            <v>4.8499999999999996</v>
          </cell>
          <cell r="E277">
            <v>1</v>
          </cell>
          <cell r="I277">
            <v>0.13</v>
          </cell>
          <cell r="J277">
            <v>0.17</v>
          </cell>
          <cell r="K277">
            <v>0.30000000000000004</v>
          </cell>
          <cell r="P277">
            <v>2</v>
          </cell>
        </row>
        <row r="278">
          <cell r="B278" t="str">
            <v>80S</v>
          </cell>
          <cell r="C278">
            <v>1.5</v>
          </cell>
          <cell r="D278">
            <v>5.08</v>
          </cell>
          <cell r="E278">
            <v>1</v>
          </cell>
          <cell r="I278">
            <v>0.15</v>
          </cell>
          <cell r="J278">
            <v>0.15</v>
          </cell>
          <cell r="K278">
            <v>0.3</v>
          </cell>
          <cell r="P278">
            <v>2</v>
          </cell>
        </row>
        <row r="279">
          <cell r="B279" t="str">
            <v>80S</v>
          </cell>
          <cell r="C279">
            <v>1.5</v>
          </cell>
          <cell r="D279">
            <v>5.08</v>
          </cell>
          <cell r="E279">
            <v>1</v>
          </cell>
          <cell r="I279">
            <v>0.15</v>
          </cell>
          <cell r="J279">
            <v>0.15</v>
          </cell>
          <cell r="K279">
            <v>0.3</v>
          </cell>
          <cell r="P279">
            <v>2</v>
          </cell>
        </row>
        <row r="280">
          <cell r="B280" t="str">
            <v>80S</v>
          </cell>
          <cell r="C280">
            <v>1.5</v>
          </cell>
          <cell r="D280">
            <v>5.08</v>
          </cell>
          <cell r="E280">
            <v>1</v>
          </cell>
          <cell r="I280">
            <v>0.15</v>
          </cell>
          <cell r="J280">
            <v>0.15</v>
          </cell>
          <cell r="K280">
            <v>0.3</v>
          </cell>
          <cell r="P280">
            <v>2</v>
          </cell>
        </row>
        <row r="281">
          <cell r="B281" t="str">
            <v>80S</v>
          </cell>
          <cell r="C281">
            <v>2</v>
          </cell>
          <cell r="D281">
            <v>5.54</v>
          </cell>
          <cell r="E281">
            <v>1</v>
          </cell>
          <cell r="I281">
            <v>0.2</v>
          </cell>
          <cell r="J281">
            <v>0.25</v>
          </cell>
          <cell r="K281">
            <v>0.45</v>
          </cell>
          <cell r="P281">
            <v>2</v>
          </cell>
        </row>
        <row r="282">
          <cell r="B282" t="str">
            <v>80S</v>
          </cell>
          <cell r="C282">
            <v>2</v>
          </cell>
          <cell r="D282">
            <v>5.54</v>
          </cell>
          <cell r="E282">
            <v>1</v>
          </cell>
          <cell r="I282">
            <v>0.2</v>
          </cell>
          <cell r="J282">
            <v>0.25</v>
          </cell>
          <cell r="K282">
            <v>0.45</v>
          </cell>
          <cell r="P282">
            <v>2</v>
          </cell>
        </row>
        <row r="283">
          <cell r="B283" t="str">
            <v>80S</v>
          </cell>
          <cell r="C283">
            <v>2</v>
          </cell>
          <cell r="D283">
            <v>5.54</v>
          </cell>
          <cell r="E283">
            <v>1</v>
          </cell>
          <cell r="I283">
            <v>0.2</v>
          </cell>
          <cell r="J283">
            <v>0.25</v>
          </cell>
          <cell r="K283">
            <v>0.45</v>
          </cell>
          <cell r="P283">
            <v>2</v>
          </cell>
        </row>
        <row r="284">
          <cell r="B284" t="str">
            <v>80S</v>
          </cell>
          <cell r="C284">
            <v>2.5</v>
          </cell>
          <cell r="D284">
            <v>7.01</v>
          </cell>
          <cell r="E284">
            <v>1</v>
          </cell>
          <cell r="I284">
            <v>0.25</v>
          </cell>
          <cell r="J284">
            <v>0.5</v>
          </cell>
          <cell r="K284">
            <v>0.75</v>
          </cell>
          <cell r="P284">
            <v>2</v>
          </cell>
        </row>
        <row r="285">
          <cell r="B285" t="str">
            <v>80S</v>
          </cell>
          <cell r="C285">
            <v>3</v>
          </cell>
          <cell r="D285">
            <v>7.62</v>
          </cell>
          <cell r="E285">
            <v>1</v>
          </cell>
          <cell r="I285">
            <v>0.3</v>
          </cell>
          <cell r="J285">
            <v>0.6</v>
          </cell>
          <cell r="K285">
            <v>0.89999999999999991</v>
          </cell>
          <cell r="P285">
            <v>2</v>
          </cell>
        </row>
        <row r="286">
          <cell r="B286" t="str">
            <v>80S</v>
          </cell>
          <cell r="C286">
            <v>3.5</v>
          </cell>
          <cell r="D286">
            <v>8.08</v>
          </cell>
          <cell r="E286">
            <v>1</v>
          </cell>
          <cell r="I286">
            <v>0.35</v>
          </cell>
          <cell r="J286">
            <v>0.85</v>
          </cell>
          <cell r="K286">
            <v>1.2</v>
          </cell>
          <cell r="P286">
            <v>3</v>
          </cell>
        </row>
        <row r="287">
          <cell r="B287" t="str">
            <v>80S</v>
          </cell>
          <cell r="C287">
            <v>4</v>
          </cell>
          <cell r="D287">
            <v>8.56</v>
          </cell>
          <cell r="E287">
            <v>1</v>
          </cell>
          <cell r="I287">
            <v>0.41</v>
          </cell>
          <cell r="J287">
            <v>0.93</v>
          </cell>
          <cell r="K287">
            <v>1.34</v>
          </cell>
          <cell r="P287">
            <v>3</v>
          </cell>
        </row>
        <row r="288">
          <cell r="B288" t="str">
            <v>80S</v>
          </cell>
          <cell r="C288">
            <v>5</v>
          </cell>
          <cell r="D288">
            <v>9.5299999999999994</v>
          </cell>
          <cell r="E288">
            <v>1</v>
          </cell>
          <cell r="I288">
            <v>0.51</v>
          </cell>
          <cell r="J288">
            <v>1.59</v>
          </cell>
          <cell r="K288">
            <v>2.1</v>
          </cell>
          <cell r="P288">
            <v>4</v>
          </cell>
        </row>
        <row r="289">
          <cell r="B289" t="str">
            <v>80S</v>
          </cell>
          <cell r="C289">
            <v>6</v>
          </cell>
          <cell r="D289">
            <v>10.97</v>
          </cell>
          <cell r="E289">
            <v>1.25</v>
          </cell>
          <cell r="I289">
            <v>0.61</v>
          </cell>
          <cell r="J289">
            <v>2.69</v>
          </cell>
          <cell r="K289">
            <v>3.3</v>
          </cell>
          <cell r="P289">
            <v>4</v>
          </cell>
        </row>
        <row r="290">
          <cell r="B290" t="str">
            <v>80S</v>
          </cell>
          <cell r="C290">
            <v>8</v>
          </cell>
          <cell r="D290">
            <v>12.7</v>
          </cell>
          <cell r="E290">
            <v>1.25</v>
          </cell>
          <cell r="I290">
            <v>0.81</v>
          </cell>
          <cell r="J290">
            <v>4.58</v>
          </cell>
          <cell r="K290">
            <v>5.3900000000000006</v>
          </cell>
          <cell r="P290">
            <v>4</v>
          </cell>
        </row>
        <row r="291">
          <cell r="B291" t="str">
            <v>80S</v>
          </cell>
          <cell r="C291">
            <v>10</v>
          </cell>
          <cell r="D291">
            <v>12.7</v>
          </cell>
          <cell r="E291">
            <v>1.25</v>
          </cell>
          <cell r="I291">
            <v>1.01</v>
          </cell>
          <cell r="J291">
            <v>5.74</v>
          </cell>
          <cell r="K291">
            <v>6.75</v>
          </cell>
          <cell r="P291">
            <v>4</v>
          </cell>
        </row>
        <row r="292">
          <cell r="B292" t="str">
            <v>80S</v>
          </cell>
          <cell r="C292">
            <v>12</v>
          </cell>
          <cell r="D292">
            <v>12.7</v>
          </cell>
          <cell r="E292">
            <v>1.25</v>
          </cell>
          <cell r="I292">
            <v>1.22</v>
          </cell>
          <cell r="J292">
            <v>6.73</v>
          </cell>
          <cell r="K292">
            <v>7.95</v>
          </cell>
          <cell r="P292">
            <v>6</v>
          </cell>
        </row>
        <row r="293">
          <cell r="B293">
            <v>100</v>
          </cell>
          <cell r="C293">
            <v>8</v>
          </cell>
          <cell r="D293">
            <v>15.09</v>
          </cell>
          <cell r="E293">
            <v>1.5</v>
          </cell>
          <cell r="I293">
            <v>0.81</v>
          </cell>
          <cell r="J293">
            <v>6.09</v>
          </cell>
          <cell r="K293">
            <v>6.9</v>
          </cell>
          <cell r="P293">
            <v>4</v>
          </cell>
        </row>
        <row r="294">
          <cell r="B294">
            <v>100</v>
          </cell>
          <cell r="C294">
            <v>10</v>
          </cell>
          <cell r="D294">
            <v>18.260000000000002</v>
          </cell>
          <cell r="E294">
            <v>1.5</v>
          </cell>
          <cell r="I294">
            <v>1.01</v>
          </cell>
          <cell r="J294">
            <v>11.44</v>
          </cell>
          <cell r="K294">
            <v>12.45</v>
          </cell>
          <cell r="P294">
            <v>4</v>
          </cell>
        </row>
        <row r="295">
          <cell r="B295">
            <v>100</v>
          </cell>
          <cell r="C295">
            <v>12</v>
          </cell>
          <cell r="D295">
            <v>21.44</v>
          </cell>
          <cell r="E295">
            <v>2</v>
          </cell>
          <cell r="I295">
            <v>1.22</v>
          </cell>
          <cell r="J295">
            <v>15.28</v>
          </cell>
          <cell r="K295">
            <v>16.5</v>
          </cell>
          <cell r="P295">
            <v>6</v>
          </cell>
        </row>
        <row r="296">
          <cell r="B296">
            <v>100</v>
          </cell>
          <cell r="C296">
            <v>14</v>
          </cell>
          <cell r="D296">
            <v>23.83</v>
          </cell>
          <cell r="E296">
            <v>2</v>
          </cell>
          <cell r="I296">
            <v>1.42</v>
          </cell>
          <cell r="J296">
            <v>21.07</v>
          </cell>
          <cell r="K296">
            <v>22.490000000000002</v>
          </cell>
          <cell r="P296">
            <v>6</v>
          </cell>
        </row>
        <row r="297">
          <cell r="B297">
            <v>100</v>
          </cell>
          <cell r="C297">
            <v>16</v>
          </cell>
          <cell r="D297">
            <v>26.19</v>
          </cell>
          <cell r="E297" t="str">
            <v>N</v>
          </cell>
          <cell r="I297">
            <v>1.62</v>
          </cell>
          <cell r="J297">
            <v>28.38</v>
          </cell>
          <cell r="K297">
            <v>30</v>
          </cell>
          <cell r="P297">
            <v>6</v>
          </cell>
        </row>
        <row r="298">
          <cell r="B298">
            <v>100</v>
          </cell>
          <cell r="C298">
            <v>18</v>
          </cell>
          <cell r="D298">
            <v>29.36</v>
          </cell>
          <cell r="E298" t="str">
            <v>N</v>
          </cell>
          <cell r="I298">
            <v>1.82</v>
          </cell>
          <cell r="J298">
            <v>37.17</v>
          </cell>
          <cell r="K298">
            <v>38.99</v>
          </cell>
          <cell r="P298">
            <v>6</v>
          </cell>
        </row>
        <row r="299">
          <cell r="B299">
            <v>100</v>
          </cell>
          <cell r="C299">
            <v>20</v>
          </cell>
          <cell r="D299">
            <v>32.54</v>
          </cell>
          <cell r="E299" t="str">
            <v>N</v>
          </cell>
          <cell r="I299">
            <v>2.0299999999999998</v>
          </cell>
          <cell r="J299">
            <v>45.97</v>
          </cell>
          <cell r="K299">
            <v>48</v>
          </cell>
          <cell r="P299">
            <v>7</v>
          </cell>
        </row>
        <row r="300">
          <cell r="B300">
            <v>100</v>
          </cell>
          <cell r="C300">
            <v>22</v>
          </cell>
          <cell r="D300">
            <v>34.93</v>
          </cell>
          <cell r="E300" t="str">
            <v>N</v>
          </cell>
          <cell r="I300">
            <v>2.23</v>
          </cell>
          <cell r="J300">
            <v>65.27</v>
          </cell>
          <cell r="K300">
            <v>67.5</v>
          </cell>
          <cell r="P300">
            <v>8</v>
          </cell>
        </row>
        <row r="301">
          <cell r="B301">
            <v>100</v>
          </cell>
          <cell r="C301">
            <v>24</v>
          </cell>
          <cell r="D301">
            <v>38.89</v>
          </cell>
          <cell r="E301" t="str">
            <v>N</v>
          </cell>
          <cell r="I301">
            <v>2.4300000000000002</v>
          </cell>
          <cell r="J301">
            <v>75.56</v>
          </cell>
          <cell r="K301">
            <v>77.990000000000009</v>
          </cell>
          <cell r="P301">
            <v>8</v>
          </cell>
        </row>
        <row r="302">
          <cell r="B302">
            <v>120</v>
          </cell>
          <cell r="C302">
            <v>4</v>
          </cell>
          <cell r="D302">
            <v>11.13</v>
          </cell>
          <cell r="E302">
            <v>1.25</v>
          </cell>
          <cell r="I302">
            <v>0.41</v>
          </cell>
          <cell r="J302">
            <v>1.84</v>
          </cell>
          <cell r="K302">
            <v>2.25</v>
          </cell>
          <cell r="P302">
            <v>4</v>
          </cell>
        </row>
        <row r="303">
          <cell r="B303">
            <v>120</v>
          </cell>
          <cell r="C303">
            <v>5</v>
          </cell>
          <cell r="D303">
            <v>12.7</v>
          </cell>
          <cell r="E303">
            <v>1.25</v>
          </cell>
          <cell r="I303">
            <v>0.51</v>
          </cell>
          <cell r="J303">
            <v>2.94</v>
          </cell>
          <cell r="K303">
            <v>3.45</v>
          </cell>
          <cell r="P303">
            <v>4</v>
          </cell>
        </row>
        <row r="304">
          <cell r="B304">
            <v>120</v>
          </cell>
          <cell r="C304">
            <v>6</v>
          </cell>
          <cell r="D304">
            <v>14.27</v>
          </cell>
          <cell r="E304">
            <v>1.25</v>
          </cell>
          <cell r="I304">
            <v>0.61</v>
          </cell>
          <cell r="J304">
            <v>4.1900000000000004</v>
          </cell>
          <cell r="K304">
            <v>4.8000000000000007</v>
          </cell>
          <cell r="P304">
            <v>4</v>
          </cell>
        </row>
        <row r="305">
          <cell r="B305">
            <v>120</v>
          </cell>
          <cell r="C305">
            <v>8</v>
          </cell>
          <cell r="D305">
            <v>18.260000000000002</v>
          </cell>
          <cell r="E305">
            <v>1.5</v>
          </cell>
          <cell r="I305">
            <v>0.81</v>
          </cell>
          <cell r="J305">
            <v>9.23</v>
          </cell>
          <cell r="K305">
            <v>10.040000000000001</v>
          </cell>
          <cell r="P305">
            <v>4</v>
          </cell>
        </row>
        <row r="306">
          <cell r="B306">
            <v>120</v>
          </cell>
          <cell r="C306">
            <v>10</v>
          </cell>
          <cell r="D306">
            <v>21.44</v>
          </cell>
          <cell r="E306">
            <v>2</v>
          </cell>
          <cell r="I306">
            <v>1.01</v>
          </cell>
          <cell r="J306">
            <v>12.49</v>
          </cell>
          <cell r="K306">
            <v>13.5</v>
          </cell>
          <cell r="P306">
            <v>4</v>
          </cell>
        </row>
        <row r="307">
          <cell r="B307">
            <v>120</v>
          </cell>
          <cell r="C307">
            <v>12</v>
          </cell>
          <cell r="D307">
            <v>25.4</v>
          </cell>
          <cell r="E307" t="str">
            <v>N</v>
          </cell>
          <cell r="I307">
            <v>1.22</v>
          </cell>
          <cell r="J307">
            <v>21.27</v>
          </cell>
          <cell r="K307">
            <v>22.49</v>
          </cell>
          <cell r="P307">
            <v>6</v>
          </cell>
        </row>
        <row r="308">
          <cell r="B308">
            <v>120</v>
          </cell>
          <cell r="C308">
            <v>14</v>
          </cell>
          <cell r="D308">
            <v>27.79</v>
          </cell>
          <cell r="E308" t="str">
            <v>N</v>
          </cell>
          <cell r="I308">
            <v>1.42</v>
          </cell>
          <cell r="J308">
            <v>25.58</v>
          </cell>
          <cell r="K308">
            <v>27</v>
          </cell>
          <cell r="P308">
            <v>6</v>
          </cell>
        </row>
        <row r="309">
          <cell r="B309">
            <v>120</v>
          </cell>
          <cell r="C309">
            <v>16</v>
          </cell>
          <cell r="D309">
            <v>30.96</v>
          </cell>
          <cell r="E309" t="str">
            <v>N</v>
          </cell>
          <cell r="I309">
            <v>1.62</v>
          </cell>
          <cell r="J309">
            <v>35.880000000000003</v>
          </cell>
          <cell r="K309">
            <v>37.5</v>
          </cell>
          <cell r="P309">
            <v>6</v>
          </cell>
        </row>
        <row r="310">
          <cell r="B310">
            <v>120</v>
          </cell>
          <cell r="C310">
            <v>18</v>
          </cell>
          <cell r="D310">
            <v>34.93</v>
          </cell>
          <cell r="E310" t="str">
            <v>N</v>
          </cell>
          <cell r="I310">
            <v>1.82</v>
          </cell>
          <cell r="J310">
            <v>47.68</v>
          </cell>
          <cell r="K310">
            <v>49.5</v>
          </cell>
          <cell r="P310">
            <v>6</v>
          </cell>
        </row>
        <row r="311">
          <cell r="B311">
            <v>120</v>
          </cell>
          <cell r="C311">
            <v>20</v>
          </cell>
          <cell r="D311">
            <v>38.1</v>
          </cell>
          <cell r="E311" t="str">
            <v>N</v>
          </cell>
          <cell r="I311">
            <v>2.0299999999999998</v>
          </cell>
          <cell r="J311">
            <v>62.47</v>
          </cell>
          <cell r="K311">
            <v>64.5</v>
          </cell>
          <cell r="P311">
            <v>7</v>
          </cell>
        </row>
        <row r="312">
          <cell r="B312">
            <v>120</v>
          </cell>
          <cell r="C312">
            <v>22</v>
          </cell>
          <cell r="D312">
            <v>41.28</v>
          </cell>
          <cell r="E312" t="str">
            <v>N</v>
          </cell>
          <cell r="I312">
            <v>2.23</v>
          </cell>
          <cell r="J312">
            <v>84.76</v>
          </cell>
          <cell r="K312">
            <v>86.990000000000009</v>
          </cell>
          <cell r="P312">
            <v>8</v>
          </cell>
        </row>
        <row r="313">
          <cell r="B313">
            <v>120</v>
          </cell>
          <cell r="C313">
            <v>24</v>
          </cell>
          <cell r="D313">
            <v>46.02</v>
          </cell>
          <cell r="E313" t="str">
            <v>N</v>
          </cell>
          <cell r="I313">
            <v>2.4300000000000002</v>
          </cell>
          <cell r="J313">
            <v>98.07</v>
          </cell>
          <cell r="K313">
            <v>100.5</v>
          </cell>
          <cell r="P313">
            <v>8</v>
          </cell>
        </row>
        <row r="314">
          <cell r="B314">
            <v>140</v>
          </cell>
          <cell r="C314">
            <v>8</v>
          </cell>
          <cell r="D314">
            <v>20.62</v>
          </cell>
          <cell r="E314">
            <v>2</v>
          </cell>
          <cell r="I314">
            <v>0.81</v>
          </cell>
          <cell r="J314">
            <v>10.130000000000001</v>
          </cell>
          <cell r="K314">
            <v>10.940000000000001</v>
          </cell>
          <cell r="P314">
            <v>4</v>
          </cell>
        </row>
        <row r="315">
          <cell r="B315">
            <v>140</v>
          </cell>
          <cell r="C315">
            <v>10</v>
          </cell>
          <cell r="D315">
            <v>25.4</v>
          </cell>
          <cell r="E315" t="str">
            <v>N</v>
          </cell>
          <cell r="I315">
            <v>1.01</v>
          </cell>
          <cell r="J315">
            <v>18.48</v>
          </cell>
          <cell r="K315">
            <v>19.490000000000002</v>
          </cell>
          <cell r="P315">
            <v>4</v>
          </cell>
        </row>
        <row r="316">
          <cell r="B316">
            <v>140</v>
          </cell>
          <cell r="C316">
            <v>12</v>
          </cell>
          <cell r="D316">
            <v>28.58</v>
          </cell>
          <cell r="E316" t="str">
            <v>N</v>
          </cell>
          <cell r="I316">
            <v>1.22</v>
          </cell>
          <cell r="J316">
            <v>25.78</v>
          </cell>
          <cell r="K316">
            <v>27</v>
          </cell>
          <cell r="P316">
            <v>6</v>
          </cell>
        </row>
        <row r="317">
          <cell r="B317">
            <v>140</v>
          </cell>
          <cell r="C317">
            <v>14</v>
          </cell>
          <cell r="D317">
            <v>31.75</v>
          </cell>
          <cell r="E317" t="str">
            <v>N</v>
          </cell>
          <cell r="I317">
            <v>1.42</v>
          </cell>
          <cell r="J317">
            <v>31.58</v>
          </cell>
          <cell r="K317">
            <v>33</v>
          </cell>
          <cell r="P317">
            <v>6</v>
          </cell>
        </row>
        <row r="318">
          <cell r="B318">
            <v>140</v>
          </cell>
          <cell r="C318">
            <v>16</v>
          </cell>
          <cell r="D318">
            <v>36.53</v>
          </cell>
          <cell r="E318" t="str">
            <v>N</v>
          </cell>
          <cell r="I318">
            <v>1.62</v>
          </cell>
          <cell r="J318">
            <v>44.87</v>
          </cell>
          <cell r="K318">
            <v>46.489999999999995</v>
          </cell>
          <cell r="P318">
            <v>6</v>
          </cell>
        </row>
        <row r="319">
          <cell r="B319">
            <v>140</v>
          </cell>
          <cell r="C319">
            <v>18</v>
          </cell>
          <cell r="D319">
            <v>39.67</v>
          </cell>
          <cell r="E319" t="str">
            <v>N</v>
          </cell>
          <cell r="I319">
            <v>1.82</v>
          </cell>
          <cell r="J319">
            <v>59.68</v>
          </cell>
          <cell r="K319">
            <v>61.5</v>
          </cell>
          <cell r="P319">
            <v>6</v>
          </cell>
        </row>
        <row r="320">
          <cell r="B320">
            <v>140</v>
          </cell>
          <cell r="C320">
            <v>20</v>
          </cell>
          <cell r="D320">
            <v>44.45</v>
          </cell>
          <cell r="E320" t="str">
            <v>N</v>
          </cell>
          <cell r="I320">
            <v>2.0299999999999998</v>
          </cell>
          <cell r="J320">
            <v>78.959999999999994</v>
          </cell>
          <cell r="K320">
            <v>80.989999999999995</v>
          </cell>
          <cell r="P320">
            <v>7</v>
          </cell>
        </row>
        <row r="321">
          <cell r="B321">
            <v>140</v>
          </cell>
          <cell r="C321">
            <v>22</v>
          </cell>
          <cell r="D321">
            <v>47.63</v>
          </cell>
          <cell r="E321" t="str">
            <v>N</v>
          </cell>
          <cell r="I321">
            <v>2.23</v>
          </cell>
          <cell r="J321">
            <v>108.77</v>
          </cell>
          <cell r="K321">
            <v>111</v>
          </cell>
          <cell r="P321">
            <v>8</v>
          </cell>
        </row>
        <row r="322">
          <cell r="B322">
            <v>140</v>
          </cell>
          <cell r="C322">
            <v>24</v>
          </cell>
          <cell r="D322">
            <v>52.37</v>
          </cell>
          <cell r="E322" t="str">
            <v>N</v>
          </cell>
          <cell r="I322">
            <v>2.4300000000000002</v>
          </cell>
          <cell r="J322">
            <v>126.57</v>
          </cell>
          <cell r="K322">
            <v>129</v>
          </cell>
          <cell r="P322">
            <v>8</v>
          </cell>
        </row>
        <row r="323">
          <cell r="B323">
            <v>160</v>
          </cell>
          <cell r="C323">
            <v>0.5</v>
          </cell>
          <cell r="D323">
            <v>4.78</v>
          </cell>
          <cell r="E323">
            <v>1</v>
          </cell>
          <cell r="I323">
            <v>7.0000000000000007E-2</v>
          </cell>
          <cell r="J323">
            <v>0.08</v>
          </cell>
          <cell r="K323">
            <v>0.15000000000000002</v>
          </cell>
          <cell r="P323">
            <v>2</v>
          </cell>
        </row>
        <row r="324">
          <cell r="B324">
            <v>160</v>
          </cell>
          <cell r="C324">
            <v>0.5</v>
          </cell>
          <cell r="D324">
            <v>4.78</v>
          </cell>
          <cell r="E324">
            <v>1</v>
          </cell>
          <cell r="I324">
            <v>7.0000000000000007E-2</v>
          </cell>
          <cell r="J324">
            <v>0.08</v>
          </cell>
          <cell r="K324">
            <v>0.15000000000000002</v>
          </cell>
          <cell r="P324">
            <v>2</v>
          </cell>
        </row>
        <row r="325">
          <cell r="B325">
            <v>160</v>
          </cell>
          <cell r="C325">
            <v>0.5</v>
          </cell>
          <cell r="D325">
            <v>4.78</v>
          </cell>
          <cell r="E325">
            <v>1</v>
          </cell>
          <cell r="I325">
            <v>7.0000000000000007E-2</v>
          </cell>
          <cell r="J325">
            <v>0.08</v>
          </cell>
          <cell r="K325">
            <v>0.15000000000000002</v>
          </cell>
          <cell r="P325">
            <v>2</v>
          </cell>
        </row>
        <row r="326">
          <cell r="B326">
            <v>160</v>
          </cell>
          <cell r="C326">
            <v>0.75</v>
          </cell>
          <cell r="D326">
            <v>5.56</v>
          </cell>
          <cell r="E326">
            <v>1</v>
          </cell>
          <cell r="I326">
            <v>0.08</v>
          </cell>
          <cell r="J326">
            <v>7.0000000000000007E-2</v>
          </cell>
          <cell r="K326">
            <v>0.15000000000000002</v>
          </cell>
          <cell r="P326">
            <v>2</v>
          </cell>
        </row>
        <row r="327">
          <cell r="B327">
            <v>160</v>
          </cell>
          <cell r="C327">
            <v>0.75</v>
          </cell>
          <cell r="D327">
            <v>5.56</v>
          </cell>
          <cell r="E327">
            <v>1</v>
          </cell>
          <cell r="I327">
            <v>0.08</v>
          </cell>
          <cell r="J327">
            <v>7.0000000000000007E-2</v>
          </cell>
          <cell r="K327">
            <v>0.15000000000000002</v>
          </cell>
          <cell r="P327">
            <v>2</v>
          </cell>
        </row>
        <row r="328">
          <cell r="B328">
            <v>160</v>
          </cell>
          <cell r="C328">
            <v>0.75</v>
          </cell>
          <cell r="D328">
            <v>5.56</v>
          </cell>
          <cell r="E328">
            <v>1</v>
          </cell>
          <cell r="I328">
            <v>0.08</v>
          </cell>
          <cell r="J328">
            <v>7.0000000000000007E-2</v>
          </cell>
          <cell r="K328">
            <v>0.15000000000000002</v>
          </cell>
          <cell r="P328">
            <v>2</v>
          </cell>
        </row>
        <row r="329">
          <cell r="B329">
            <v>160</v>
          </cell>
          <cell r="C329">
            <v>1</v>
          </cell>
          <cell r="D329">
            <v>6.35</v>
          </cell>
          <cell r="E329">
            <v>1</v>
          </cell>
          <cell r="I329">
            <v>0.1</v>
          </cell>
          <cell r="J329">
            <v>0.35</v>
          </cell>
          <cell r="K329">
            <v>0.44999999999999996</v>
          </cell>
          <cell r="P329">
            <v>2</v>
          </cell>
        </row>
        <row r="330">
          <cell r="B330">
            <v>160</v>
          </cell>
          <cell r="C330">
            <v>1</v>
          </cell>
          <cell r="D330">
            <v>6.35</v>
          </cell>
          <cell r="E330">
            <v>1</v>
          </cell>
          <cell r="I330">
            <v>0.1</v>
          </cell>
          <cell r="J330">
            <v>0.35</v>
          </cell>
          <cell r="K330">
            <v>0.44999999999999996</v>
          </cell>
          <cell r="P330">
            <v>2</v>
          </cell>
        </row>
        <row r="331">
          <cell r="B331">
            <v>160</v>
          </cell>
          <cell r="C331">
            <v>1</v>
          </cell>
          <cell r="D331">
            <v>6.35</v>
          </cell>
          <cell r="E331">
            <v>1</v>
          </cell>
          <cell r="I331">
            <v>0.1</v>
          </cell>
          <cell r="J331">
            <v>0.35</v>
          </cell>
          <cell r="K331">
            <v>0.44999999999999996</v>
          </cell>
          <cell r="P331">
            <v>2</v>
          </cell>
        </row>
        <row r="332">
          <cell r="B332">
            <v>160</v>
          </cell>
          <cell r="C332">
            <v>1.25</v>
          </cell>
          <cell r="D332">
            <v>6.35</v>
          </cell>
          <cell r="E332">
            <v>1</v>
          </cell>
          <cell r="I332">
            <v>0.13</v>
          </cell>
          <cell r="J332">
            <v>0.32</v>
          </cell>
          <cell r="K332">
            <v>0.45</v>
          </cell>
          <cell r="P332">
            <v>2</v>
          </cell>
        </row>
        <row r="333">
          <cell r="B333">
            <v>160</v>
          </cell>
          <cell r="C333">
            <v>1.25</v>
          </cell>
          <cell r="D333">
            <v>6.35</v>
          </cell>
          <cell r="E333">
            <v>1</v>
          </cell>
          <cell r="I333">
            <v>0.13</v>
          </cell>
          <cell r="J333">
            <v>0.32</v>
          </cell>
          <cell r="K333">
            <v>0.45</v>
          </cell>
          <cell r="P333">
            <v>2</v>
          </cell>
        </row>
        <row r="334">
          <cell r="B334">
            <v>160</v>
          </cell>
          <cell r="C334">
            <v>1.25</v>
          </cell>
          <cell r="D334">
            <v>6.35</v>
          </cell>
          <cell r="E334">
            <v>1</v>
          </cell>
          <cell r="I334">
            <v>0.13</v>
          </cell>
          <cell r="J334">
            <v>0.32</v>
          </cell>
          <cell r="K334">
            <v>0.45</v>
          </cell>
          <cell r="P334">
            <v>2</v>
          </cell>
        </row>
        <row r="335">
          <cell r="B335">
            <v>160</v>
          </cell>
          <cell r="C335">
            <v>1.5</v>
          </cell>
          <cell r="D335">
            <v>7.14</v>
          </cell>
          <cell r="E335">
            <v>1</v>
          </cell>
          <cell r="I335">
            <v>0.15</v>
          </cell>
          <cell r="J335">
            <v>0.45</v>
          </cell>
          <cell r="K335">
            <v>0.6</v>
          </cell>
          <cell r="P335">
            <v>2</v>
          </cell>
        </row>
        <row r="336">
          <cell r="B336">
            <v>160</v>
          </cell>
          <cell r="C336">
            <v>1.5</v>
          </cell>
          <cell r="D336">
            <v>7.14</v>
          </cell>
          <cell r="E336">
            <v>1</v>
          </cell>
          <cell r="I336">
            <v>0.15</v>
          </cell>
          <cell r="J336">
            <v>0.45</v>
          </cell>
          <cell r="K336">
            <v>0.6</v>
          </cell>
          <cell r="P336">
            <v>2</v>
          </cell>
        </row>
        <row r="337">
          <cell r="B337">
            <v>160</v>
          </cell>
          <cell r="C337">
            <v>1.5</v>
          </cell>
          <cell r="D337">
            <v>7.14</v>
          </cell>
          <cell r="E337">
            <v>1</v>
          </cell>
          <cell r="I337">
            <v>0.15</v>
          </cell>
          <cell r="J337">
            <v>0.45</v>
          </cell>
          <cell r="K337">
            <v>0.6</v>
          </cell>
          <cell r="P337">
            <v>2</v>
          </cell>
        </row>
        <row r="338">
          <cell r="B338">
            <v>160</v>
          </cell>
          <cell r="C338">
            <v>2</v>
          </cell>
          <cell r="D338">
            <v>8.74</v>
          </cell>
          <cell r="E338">
            <v>1</v>
          </cell>
          <cell r="I338">
            <v>0.2</v>
          </cell>
          <cell r="J338">
            <v>0.7</v>
          </cell>
          <cell r="K338">
            <v>0.89999999999999991</v>
          </cell>
          <cell r="P338">
            <v>4</v>
          </cell>
        </row>
        <row r="339">
          <cell r="B339">
            <v>160</v>
          </cell>
          <cell r="C339">
            <v>2</v>
          </cell>
          <cell r="D339">
            <v>8.74</v>
          </cell>
          <cell r="E339">
            <v>1</v>
          </cell>
          <cell r="I339">
            <v>0.2</v>
          </cell>
          <cell r="J339">
            <v>0.7</v>
          </cell>
          <cell r="K339">
            <v>0.89999999999999991</v>
          </cell>
          <cell r="P339">
            <v>4</v>
          </cell>
        </row>
        <row r="340">
          <cell r="B340">
            <v>160</v>
          </cell>
          <cell r="C340">
            <v>2</v>
          </cell>
          <cell r="D340">
            <v>8.74</v>
          </cell>
          <cell r="E340">
            <v>1</v>
          </cell>
          <cell r="I340">
            <v>0.2</v>
          </cell>
          <cell r="J340">
            <v>0.7</v>
          </cell>
          <cell r="K340">
            <v>0.89999999999999991</v>
          </cell>
          <cell r="P340">
            <v>4</v>
          </cell>
        </row>
        <row r="341">
          <cell r="B341">
            <v>160</v>
          </cell>
          <cell r="C341">
            <v>2.5</v>
          </cell>
          <cell r="D341">
            <v>9.5299999999999994</v>
          </cell>
          <cell r="E341">
            <v>1</v>
          </cell>
          <cell r="I341">
            <v>0.25</v>
          </cell>
          <cell r="J341">
            <v>0.8</v>
          </cell>
          <cell r="K341">
            <v>1.05</v>
          </cell>
          <cell r="P341">
            <v>4</v>
          </cell>
        </row>
        <row r="342">
          <cell r="B342">
            <v>160</v>
          </cell>
          <cell r="C342">
            <v>3</v>
          </cell>
          <cell r="D342">
            <v>11.13</v>
          </cell>
          <cell r="E342">
            <v>1.25</v>
          </cell>
          <cell r="I342">
            <v>0.3</v>
          </cell>
          <cell r="J342">
            <v>1.5</v>
          </cell>
          <cell r="K342">
            <v>1.8</v>
          </cell>
          <cell r="P342">
            <v>4</v>
          </cell>
        </row>
        <row r="343">
          <cell r="B343">
            <v>160</v>
          </cell>
          <cell r="C343">
            <v>4</v>
          </cell>
          <cell r="D343">
            <v>13.49</v>
          </cell>
          <cell r="E343">
            <v>1.25</v>
          </cell>
          <cell r="I343">
            <v>0.41</v>
          </cell>
          <cell r="J343">
            <v>2.59</v>
          </cell>
          <cell r="K343">
            <v>3</v>
          </cell>
          <cell r="P343">
            <v>4</v>
          </cell>
        </row>
        <row r="344">
          <cell r="B344">
            <v>160</v>
          </cell>
          <cell r="C344">
            <v>5</v>
          </cell>
          <cell r="D344">
            <v>15.88</v>
          </cell>
          <cell r="E344">
            <v>1.5</v>
          </cell>
          <cell r="I344">
            <v>0.51</v>
          </cell>
          <cell r="J344">
            <v>4.29</v>
          </cell>
          <cell r="K344">
            <v>4.8</v>
          </cell>
          <cell r="P344">
            <v>4</v>
          </cell>
        </row>
        <row r="345">
          <cell r="B345">
            <v>160</v>
          </cell>
          <cell r="C345">
            <v>6</v>
          </cell>
          <cell r="D345">
            <v>18.260000000000002</v>
          </cell>
          <cell r="E345">
            <v>1.5</v>
          </cell>
          <cell r="I345">
            <v>0.61</v>
          </cell>
          <cell r="J345">
            <v>7.04</v>
          </cell>
          <cell r="K345">
            <v>7.65</v>
          </cell>
          <cell r="P345">
            <v>4</v>
          </cell>
        </row>
        <row r="346">
          <cell r="B346">
            <v>160</v>
          </cell>
          <cell r="C346">
            <v>8</v>
          </cell>
          <cell r="D346">
            <v>23.01</v>
          </cell>
          <cell r="E346">
            <v>2</v>
          </cell>
          <cell r="I346">
            <v>0.81</v>
          </cell>
          <cell r="J346">
            <v>11.19</v>
          </cell>
          <cell r="K346">
            <v>12</v>
          </cell>
          <cell r="P346">
            <v>4</v>
          </cell>
        </row>
        <row r="347">
          <cell r="B347">
            <v>160</v>
          </cell>
          <cell r="C347">
            <v>10</v>
          </cell>
          <cell r="D347">
            <v>28.58</v>
          </cell>
          <cell r="E347" t="str">
            <v>N</v>
          </cell>
          <cell r="I347">
            <v>1.01</v>
          </cell>
          <cell r="J347">
            <v>21.48</v>
          </cell>
          <cell r="K347">
            <v>22.490000000000002</v>
          </cell>
          <cell r="P347">
            <v>4</v>
          </cell>
        </row>
        <row r="348">
          <cell r="B348">
            <v>160</v>
          </cell>
          <cell r="C348">
            <v>12</v>
          </cell>
          <cell r="D348">
            <v>33.32</v>
          </cell>
          <cell r="E348" t="str">
            <v>N</v>
          </cell>
          <cell r="I348">
            <v>1.22</v>
          </cell>
          <cell r="J348">
            <v>31.78</v>
          </cell>
          <cell r="K348">
            <v>33</v>
          </cell>
          <cell r="P348">
            <v>6</v>
          </cell>
        </row>
        <row r="349">
          <cell r="B349">
            <v>160</v>
          </cell>
          <cell r="C349">
            <v>14</v>
          </cell>
          <cell r="D349">
            <v>35.71</v>
          </cell>
          <cell r="E349" t="str">
            <v>N</v>
          </cell>
          <cell r="I349">
            <v>1.42</v>
          </cell>
          <cell r="J349">
            <v>39.07</v>
          </cell>
          <cell r="K349">
            <v>40.49</v>
          </cell>
          <cell r="P349">
            <v>6</v>
          </cell>
        </row>
        <row r="350">
          <cell r="B350">
            <v>160</v>
          </cell>
          <cell r="C350">
            <v>16</v>
          </cell>
          <cell r="D350">
            <v>40.49</v>
          </cell>
          <cell r="E350" t="str">
            <v>N</v>
          </cell>
          <cell r="I350">
            <v>1.62</v>
          </cell>
          <cell r="J350">
            <v>53.88</v>
          </cell>
          <cell r="K350">
            <v>55.5</v>
          </cell>
          <cell r="P350">
            <v>6</v>
          </cell>
        </row>
        <row r="351">
          <cell r="B351">
            <v>160</v>
          </cell>
          <cell r="C351">
            <v>18</v>
          </cell>
          <cell r="D351">
            <v>45.24</v>
          </cell>
          <cell r="E351" t="str">
            <v>N</v>
          </cell>
          <cell r="I351">
            <v>1.82</v>
          </cell>
          <cell r="J351">
            <v>71.680000000000007</v>
          </cell>
          <cell r="K351">
            <v>73.5</v>
          </cell>
          <cell r="P351">
            <v>6</v>
          </cell>
        </row>
        <row r="352">
          <cell r="B352">
            <v>160</v>
          </cell>
          <cell r="C352">
            <v>20</v>
          </cell>
          <cell r="D352">
            <v>50.01</v>
          </cell>
          <cell r="E352" t="str">
            <v>N</v>
          </cell>
          <cell r="I352">
            <v>2.0299999999999998</v>
          </cell>
          <cell r="J352">
            <v>93.97</v>
          </cell>
          <cell r="K352">
            <v>96</v>
          </cell>
          <cell r="P352">
            <v>7</v>
          </cell>
        </row>
        <row r="353">
          <cell r="B353">
            <v>160</v>
          </cell>
          <cell r="C353">
            <v>22</v>
          </cell>
          <cell r="D353">
            <v>53.98</v>
          </cell>
          <cell r="E353" t="str">
            <v>N</v>
          </cell>
          <cell r="I353">
            <v>2.23</v>
          </cell>
          <cell r="J353">
            <v>132.77000000000001</v>
          </cell>
          <cell r="K353">
            <v>135</v>
          </cell>
          <cell r="P353">
            <v>8</v>
          </cell>
        </row>
        <row r="354">
          <cell r="B354">
            <v>160</v>
          </cell>
          <cell r="C354">
            <v>24</v>
          </cell>
          <cell r="D354">
            <v>59.54</v>
          </cell>
          <cell r="E354" t="str">
            <v>N</v>
          </cell>
          <cell r="I354">
            <v>2.4300000000000002</v>
          </cell>
          <cell r="J354">
            <v>162.56</v>
          </cell>
          <cell r="K354">
            <v>164.99</v>
          </cell>
          <cell r="P354">
            <v>8</v>
          </cell>
        </row>
        <row r="355">
          <cell r="B355" t="str">
            <v>STD</v>
          </cell>
          <cell r="C355">
            <v>0.125</v>
          </cell>
          <cell r="D355">
            <v>1.73</v>
          </cell>
          <cell r="E355">
            <v>1</v>
          </cell>
          <cell r="I355">
            <v>7.0000000000000007E-2</v>
          </cell>
          <cell r="K355">
            <v>7.0000000000000007E-2</v>
          </cell>
          <cell r="P355">
            <v>2</v>
          </cell>
        </row>
        <row r="356">
          <cell r="B356" t="str">
            <v>STD</v>
          </cell>
          <cell r="C356">
            <v>0.125</v>
          </cell>
          <cell r="D356">
            <v>1.73</v>
          </cell>
          <cell r="E356">
            <v>1</v>
          </cell>
          <cell r="I356">
            <v>7.0000000000000007E-2</v>
          </cell>
          <cell r="K356">
            <v>7.0000000000000007E-2</v>
          </cell>
          <cell r="P356">
            <v>2</v>
          </cell>
        </row>
        <row r="357">
          <cell r="B357" t="str">
            <v>STD</v>
          </cell>
          <cell r="C357">
            <v>0.125</v>
          </cell>
          <cell r="D357">
            <v>1.73</v>
          </cell>
          <cell r="E357">
            <v>1</v>
          </cell>
          <cell r="I357">
            <v>7.0000000000000007E-2</v>
          </cell>
          <cell r="K357">
            <v>7.0000000000000007E-2</v>
          </cell>
          <cell r="P357">
            <v>2</v>
          </cell>
        </row>
        <row r="358">
          <cell r="B358" t="str">
            <v>STD</v>
          </cell>
          <cell r="C358">
            <v>0.25</v>
          </cell>
          <cell r="D358">
            <v>2.2400000000000002</v>
          </cell>
          <cell r="E358">
            <v>1</v>
          </cell>
          <cell r="I358">
            <v>7.0000000000000007E-2</v>
          </cell>
          <cell r="K358">
            <v>7.0000000000000007E-2</v>
          </cell>
          <cell r="P358">
            <v>2</v>
          </cell>
        </row>
        <row r="359">
          <cell r="B359" t="str">
            <v>STD</v>
          </cell>
          <cell r="C359">
            <v>0.25</v>
          </cell>
          <cell r="D359">
            <v>2.2400000000000002</v>
          </cell>
          <cell r="E359">
            <v>1</v>
          </cell>
          <cell r="I359">
            <v>7.0000000000000007E-2</v>
          </cell>
          <cell r="K359">
            <v>7.0000000000000007E-2</v>
          </cell>
          <cell r="P359">
            <v>2</v>
          </cell>
        </row>
        <row r="360">
          <cell r="B360" t="str">
            <v>STD</v>
          </cell>
          <cell r="C360">
            <v>0.25</v>
          </cell>
          <cell r="D360">
            <v>2.2400000000000002</v>
          </cell>
          <cell r="E360">
            <v>1</v>
          </cell>
          <cell r="I360">
            <v>7.0000000000000007E-2</v>
          </cell>
          <cell r="K360">
            <v>7.0000000000000007E-2</v>
          </cell>
          <cell r="P360">
            <v>2</v>
          </cell>
        </row>
        <row r="361">
          <cell r="B361" t="str">
            <v>STD</v>
          </cell>
          <cell r="C361">
            <v>0.375</v>
          </cell>
          <cell r="D361">
            <v>2.31</v>
          </cell>
          <cell r="E361">
            <v>1</v>
          </cell>
          <cell r="I361">
            <v>7.0000000000000007E-2</v>
          </cell>
          <cell r="J361">
            <v>0</v>
          </cell>
          <cell r="K361">
            <v>7.0000000000000007E-2</v>
          </cell>
          <cell r="P361">
            <v>2</v>
          </cell>
        </row>
        <row r="362">
          <cell r="B362" t="str">
            <v>STD</v>
          </cell>
          <cell r="C362">
            <v>0.375</v>
          </cell>
          <cell r="D362">
            <v>2.31</v>
          </cell>
          <cell r="E362">
            <v>1</v>
          </cell>
          <cell r="I362">
            <v>7.0000000000000007E-2</v>
          </cell>
          <cell r="J362">
            <v>0</v>
          </cell>
          <cell r="K362">
            <v>7.0000000000000007E-2</v>
          </cell>
          <cell r="P362">
            <v>2</v>
          </cell>
        </row>
        <row r="363">
          <cell r="B363" t="str">
            <v>STD</v>
          </cell>
          <cell r="C363">
            <v>0.375</v>
          </cell>
          <cell r="D363">
            <v>2.31</v>
          </cell>
          <cell r="E363">
            <v>1</v>
          </cell>
          <cell r="I363">
            <v>7.0000000000000007E-2</v>
          </cell>
          <cell r="J363">
            <v>0</v>
          </cell>
          <cell r="K363">
            <v>7.0000000000000007E-2</v>
          </cell>
          <cell r="P363">
            <v>2</v>
          </cell>
        </row>
        <row r="364">
          <cell r="B364" t="str">
            <v>STD</v>
          </cell>
          <cell r="C364">
            <v>0.5</v>
          </cell>
          <cell r="D364">
            <v>2.77</v>
          </cell>
          <cell r="E364">
            <v>1</v>
          </cell>
          <cell r="I364">
            <v>7.0000000000000007E-2</v>
          </cell>
          <cell r="J364">
            <v>0</v>
          </cell>
          <cell r="K364">
            <v>7.0000000000000007E-2</v>
          </cell>
          <cell r="P364">
            <v>2</v>
          </cell>
        </row>
        <row r="365">
          <cell r="B365" t="str">
            <v>STD</v>
          </cell>
          <cell r="C365">
            <v>0.5</v>
          </cell>
          <cell r="D365">
            <v>2.77</v>
          </cell>
          <cell r="E365">
            <v>1</v>
          </cell>
          <cell r="I365">
            <v>7.0000000000000007E-2</v>
          </cell>
          <cell r="J365">
            <v>0</v>
          </cell>
          <cell r="K365">
            <v>7.0000000000000007E-2</v>
          </cell>
          <cell r="P365">
            <v>2</v>
          </cell>
        </row>
        <row r="366">
          <cell r="B366" t="str">
            <v>STD</v>
          </cell>
          <cell r="C366">
            <v>0.5</v>
          </cell>
          <cell r="D366">
            <v>2.77</v>
          </cell>
          <cell r="E366">
            <v>1</v>
          </cell>
          <cell r="I366">
            <v>7.0000000000000007E-2</v>
          </cell>
          <cell r="J366">
            <v>0</v>
          </cell>
          <cell r="K366">
            <v>7.0000000000000007E-2</v>
          </cell>
          <cell r="P366">
            <v>2</v>
          </cell>
        </row>
        <row r="367">
          <cell r="B367" t="str">
            <v>STD</v>
          </cell>
          <cell r="C367">
            <v>0.75</v>
          </cell>
          <cell r="D367">
            <v>2.87</v>
          </cell>
          <cell r="E367">
            <v>1</v>
          </cell>
          <cell r="I367">
            <v>7.0000000000000007E-2</v>
          </cell>
          <cell r="J367">
            <v>0</v>
          </cell>
          <cell r="K367">
            <v>7.0000000000000007E-2</v>
          </cell>
          <cell r="P367">
            <v>2</v>
          </cell>
        </row>
        <row r="368">
          <cell r="B368" t="str">
            <v>STD</v>
          </cell>
          <cell r="C368">
            <v>0.75</v>
          </cell>
          <cell r="D368">
            <v>2.87</v>
          </cell>
          <cell r="E368">
            <v>1</v>
          </cell>
          <cell r="I368">
            <v>7.0000000000000007E-2</v>
          </cell>
          <cell r="J368">
            <v>0</v>
          </cell>
          <cell r="K368">
            <v>7.0000000000000007E-2</v>
          </cell>
          <cell r="P368">
            <v>2</v>
          </cell>
        </row>
        <row r="369">
          <cell r="B369" t="str">
            <v>STD</v>
          </cell>
          <cell r="C369">
            <v>0.75</v>
          </cell>
          <cell r="D369">
            <v>2.87</v>
          </cell>
          <cell r="E369">
            <v>1</v>
          </cell>
          <cell r="I369">
            <v>7.0000000000000007E-2</v>
          </cell>
          <cell r="J369">
            <v>0</v>
          </cell>
          <cell r="K369">
            <v>7.0000000000000007E-2</v>
          </cell>
          <cell r="P369">
            <v>2</v>
          </cell>
        </row>
        <row r="370">
          <cell r="B370" t="str">
            <v>STD</v>
          </cell>
          <cell r="C370">
            <v>1</v>
          </cell>
          <cell r="D370">
            <v>3.38</v>
          </cell>
          <cell r="E370">
            <v>1</v>
          </cell>
          <cell r="I370">
            <v>0.12</v>
          </cell>
          <cell r="J370">
            <v>0</v>
          </cell>
          <cell r="K370">
            <v>0.12</v>
          </cell>
          <cell r="P370">
            <v>2</v>
          </cell>
        </row>
        <row r="371">
          <cell r="B371" t="str">
            <v>STD</v>
          </cell>
          <cell r="C371">
            <v>1</v>
          </cell>
          <cell r="D371">
            <v>3.38</v>
          </cell>
          <cell r="E371">
            <v>1</v>
          </cell>
          <cell r="I371">
            <v>0.12</v>
          </cell>
          <cell r="J371">
            <v>0</v>
          </cell>
          <cell r="K371">
            <v>0.12</v>
          </cell>
          <cell r="P371">
            <v>2</v>
          </cell>
        </row>
        <row r="372">
          <cell r="B372" t="str">
            <v>STD</v>
          </cell>
          <cell r="C372">
            <v>1</v>
          </cell>
          <cell r="D372">
            <v>3.38</v>
          </cell>
          <cell r="E372">
            <v>1</v>
          </cell>
          <cell r="I372">
            <v>0.12</v>
          </cell>
          <cell r="J372">
            <v>0</v>
          </cell>
          <cell r="K372">
            <v>0.12</v>
          </cell>
          <cell r="P372">
            <v>2</v>
          </cell>
        </row>
        <row r="373">
          <cell r="B373" t="str">
            <v>STD</v>
          </cell>
          <cell r="C373">
            <v>1.25</v>
          </cell>
          <cell r="D373">
            <v>3.56</v>
          </cell>
          <cell r="E373">
            <v>1</v>
          </cell>
          <cell r="I373">
            <v>0.15</v>
          </cell>
          <cell r="K373">
            <v>0.15</v>
          </cell>
          <cell r="P373">
            <v>2</v>
          </cell>
        </row>
        <row r="374">
          <cell r="B374" t="str">
            <v>STD</v>
          </cell>
          <cell r="C374">
            <v>1.25</v>
          </cell>
          <cell r="D374">
            <v>3.56</v>
          </cell>
          <cell r="E374">
            <v>1</v>
          </cell>
          <cell r="I374">
            <v>0.15</v>
          </cell>
          <cell r="K374">
            <v>0.15</v>
          </cell>
          <cell r="P374">
            <v>2</v>
          </cell>
        </row>
        <row r="375">
          <cell r="B375" t="str">
            <v>STD</v>
          </cell>
          <cell r="C375">
            <v>1.25</v>
          </cell>
          <cell r="D375">
            <v>3.56</v>
          </cell>
          <cell r="E375">
            <v>1</v>
          </cell>
          <cell r="I375">
            <v>0.15</v>
          </cell>
          <cell r="K375">
            <v>0.15</v>
          </cell>
          <cell r="P375">
            <v>2</v>
          </cell>
        </row>
        <row r="376">
          <cell r="B376" t="str">
            <v>STD</v>
          </cell>
          <cell r="C376">
            <v>1.5</v>
          </cell>
          <cell r="D376">
            <v>3.68</v>
          </cell>
          <cell r="E376">
            <v>1</v>
          </cell>
          <cell r="I376">
            <v>0.15</v>
          </cell>
          <cell r="J376">
            <v>0</v>
          </cell>
          <cell r="K376">
            <v>0.15</v>
          </cell>
          <cell r="P376">
            <v>2</v>
          </cell>
        </row>
        <row r="377">
          <cell r="B377" t="str">
            <v>STD</v>
          </cell>
          <cell r="C377">
            <v>1.5</v>
          </cell>
          <cell r="D377">
            <v>3.68</v>
          </cell>
          <cell r="E377">
            <v>1</v>
          </cell>
          <cell r="I377">
            <v>0.15</v>
          </cell>
          <cell r="J377">
            <v>0</v>
          </cell>
          <cell r="K377">
            <v>0.15</v>
          </cell>
          <cell r="P377">
            <v>2</v>
          </cell>
        </row>
        <row r="378">
          <cell r="B378" t="str">
            <v>STD</v>
          </cell>
          <cell r="C378">
            <v>1.5</v>
          </cell>
          <cell r="D378">
            <v>3.68</v>
          </cell>
          <cell r="E378">
            <v>1</v>
          </cell>
          <cell r="I378">
            <v>0.15</v>
          </cell>
          <cell r="J378">
            <v>0</v>
          </cell>
          <cell r="K378">
            <v>0.15</v>
          </cell>
          <cell r="P378">
            <v>2</v>
          </cell>
        </row>
        <row r="379">
          <cell r="B379" t="str">
            <v>STD</v>
          </cell>
          <cell r="C379">
            <v>2</v>
          </cell>
          <cell r="D379">
            <v>3.91</v>
          </cell>
          <cell r="E379">
            <v>1</v>
          </cell>
          <cell r="I379">
            <v>0.3</v>
          </cell>
          <cell r="J379">
            <v>0</v>
          </cell>
          <cell r="K379">
            <v>0.3</v>
          </cell>
          <cell r="P379">
            <v>2</v>
          </cell>
        </row>
        <row r="380">
          <cell r="B380" t="str">
            <v>STD</v>
          </cell>
          <cell r="C380">
            <v>2</v>
          </cell>
          <cell r="D380">
            <v>3.91</v>
          </cell>
          <cell r="E380">
            <v>1</v>
          </cell>
          <cell r="I380">
            <v>0.3</v>
          </cell>
          <cell r="J380">
            <v>0</v>
          </cell>
          <cell r="K380">
            <v>0.3</v>
          </cell>
          <cell r="P380">
            <v>2</v>
          </cell>
        </row>
        <row r="381">
          <cell r="B381" t="str">
            <v>STD</v>
          </cell>
          <cell r="C381">
            <v>2</v>
          </cell>
          <cell r="D381">
            <v>3.91</v>
          </cell>
          <cell r="E381">
            <v>1</v>
          </cell>
          <cell r="I381">
            <v>0.3</v>
          </cell>
          <cell r="J381">
            <v>0</v>
          </cell>
          <cell r="K381">
            <v>0.3</v>
          </cell>
          <cell r="P381">
            <v>2</v>
          </cell>
        </row>
        <row r="382">
          <cell r="B382" t="str">
            <v>STD</v>
          </cell>
          <cell r="C382">
            <v>2.5</v>
          </cell>
          <cell r="D382">
            <v>5.16</v>
          </cell>
          <cell r="E382">
            <v>1</v>
          </cell>
          <cell r="I382">
            <v>0.25</v>
          </cell>
          <cell r="J382">
            <v>0.2</v>
          </cell>
          <cell r="K382">
            <v>0.45</v>
          </cell>
          <cell r="P382">
            <v>2</v>
          </cell>
        </row>
        <row r="383">
          <cell r="B383" t="str">
            <v>STD</v>
          </cell>
          <cell r="C383">
            <v>3</v>
          </cell>
          <cell r="D383">
            <v>5.49</v>
          </cell>
          <cell r="E383">
            <v>1</v>
          </cell>
          <cell r="I383">
            <v>0.3</v>
          </cell>
          <cell r="J383">
            <v>0.3</v>
          </cell>
          <cell r="K383">
            <v>0.6</v>
          </cell>
          <cell r="P383">
            <v>2</v>
          </cell>
        </row>
        <row r="384">
          <cell r="B384" t="str">
            <v>STD</v>
          </cell>
          <cell r="C384">
            <v>3.5</v>
          </cell>
          <cell r="D384">
            <v>5.74</v>
          </cell>
          <cell r="E384">
            <v>1</v>
          </cell>
          <cell r="I384">
            <v>0.35</v>
          </cell>
          <cell r="J384">
            <v>0.4</v>
          </cell>
          <cell r="K384">
            <v>0.75</v>
          </cell>
          <cell r="P384">
            <v>3</v>
          </cell>
        </row>
        <row r="385">
          <cell r="B385" t="str">
            <v>STD</v>
          </cell>
          <cell r="C385">
            <v>4</v>
          </cell>
          <cell r="D385">
            <v>6.02</v>
          </cell>
          <cell r="E385">
            <v>1</v>
          </cell>
          <cell r="I385">
            <v>0.41</v>
          </cell>
          <cell r="J385">
            <v>0.49</v>
          </cell>
          <cell r="K385">
            <v>0.89999999999999991</v>
          </cell>
          <cell r="P385">
            <v>3</v>
          </cell>
        </row>
        <row r="386">
          <cell r="B386" t="str">
            <v>STD</v>
          </cell>
          <cell r="C386">
            <v>5</v>
          </cell>
          <cell r="D386">
            <v>6.55</v>
          </cell>
          <cell r="E386">
            <v>1</v>
          </cell>
          <cell r="I386">
            <v>0.51</v>
          </cell>
          <cell r="J386">
            <v>0.54</v>
          </cell>
          <cell r="K386">
            <v>1.05</v>
          </cell>
          <cell r="P386">
            <v>4</v>
          </cell>
        </row>
        <row r="387">
          <cell r="B387" t="str">
            <v>STD</v>
          </cell>
          <cell r="C387">
            <v>6</v>
          </cell>
          <cell r="D387">
            <v>7.11</v>
          </cell>
          <cell r="E387">
            <v>1</v>
          </cell>
          <cell r="I387">
            <v>0.61</v>
          </cell>
          <cell r="J387">
            <v>1.04</v>
          </cell>
          <cell r="K387">
            <v>1.65</v>
          </cell>
          <cell r="P387">
            <v>4</v>
          </cell>
        </row>
        <row r="388">
          <cell r="B388" t="str">
            <v>STD</v>
          </cell>
          <cell r="C388">
            <v>8</v>
          </cell>
          <cell r="D388">
            <v>8.18</v>
          </cell>
          <cell r="E388">
            <v>1</v>
          </cell>
          <cell r="I388">
            <v>0.81</v>
          </cell>
          <cell r="J388">
            <v>1.73</v>
          </cell>
          <cell r="K388">
            <v>2.54</v>
          </cell>
          <cell r="P388">
            <v>4</v>
          </cell>
        </row>
        <row r="389">
          <cell r="B389" t="str">
            <v>STD</v>
          </cell>
          <cell r="C389">
            <v>10</v>
          </cell>
          <cell r="D389">
            <v>9.27</v>
          </cell>
          <cell r="E389">
            <v>1</v>
          </cell>
          <cell r="I389">
            <v>1.01</v>
          </cell>
          <cell r="J389">
            <v>3.04</v>
          </cell>
          <cell r="K389">
            <v>4.05</v>
          </cell>
          <cell r="P389">
            <v>4</v>
          </cell>
        </row>
        <row r="390">
          <cell r="B390" t="str">
            <v>STD</v>
          </cell>
          <cell r="C390">
            <v>12</v>
          </cell>
          <cell r="D390">
            <v>9.5299999999999994</v>
          </cell>
          <cell r="E390">
            <v>1</v>
          </cell>
          <cell r="I390">
            <v>1.22</v>
          </cell>
          <cell r="J390">
            <v>3.28</v>
          </cell>
          <cell r="K390">
            <v>4.5</v>
          </cell>
          <cell r="P390">
            <v>6</v>
          </cell>
        </row>
        <row r="391">
          <cell r="B391" t="str">
            <v>STD</v>
          </cell>
          <cell r="C391">
            <v>14</v>
          </cell>
          <cell r="D391">
            <v>9.5299999999999994</v>
          </cell>
          <cell r="E391">
            <v>1</v>
          </cell>
          <cell r="I391">
            <v>1.42</v>
          </cell>
          <cell r="J391">
            <v>3.97</v>
          </cell>
          <cell r="K391">
            <v>5.3900000000000006</v>
          </cell>
          <cell r="P391">
            <v>6</v>
          </cell>
        </row>
        <row r="392">
          <cell r="B392" t="str">
            <v>STD</v>
          </cell>
          <cell r="C392">
            <v>16</v>
          </cell>
          <cell r="D392">
            <v>9.5299999999999994</v>
          </cell>
          <cell r="E392">
            <v>1</v>
          </cell>
          <cell r="I392">
            <v>1.62</v>
          </cell>
          <cell r="J392">
            <v>4.68</v>
          </cell>
          <cell r="K392">
            <v>6.3</v>
          </cell>
          <cell r="P392">
            <v>6</v>
          </cell>
        </row>
        <row r="393">
          <cell r="B393" t="str">
            <v>STD</v>
          </cell>
          <cell r="C393">
            <v>18</v>
          </cell>
          <cell r="D393">
            <v>9.5299999999999994</v>
          </cell>
          <cell r="E393">
            <v>1</v>
          </cell>
          <cell r="I393">
            <v>1.82</v>
          </cell>
          <cell r="J393">
            <v>5.38</v>
          </cell>
          <cell r="K393">
            <v>7.2</v>
          </cell>
          <cell r="P393">
            <v>6</v>
          </cell>
        </row>
        <row r="394">
          <cell r="B394" t="str">
            <v>STD</v>
          </cell>
          <cell r="C394">
            <v>20</v>
          </cell>
          <cell r="D394">
            <v>9.5299999999999994</v>
          </cell>
          <cell r="E394">
            <v>1</v>
          </cell>
          <cell r="I394">
            <v>2.0299999999999998</v>
          </cell>
          <cell r="J394">
            <v>5.47</v>
          </cell>
          <cell r="K394">
            <v>7.5</v>
          </cell>
          <cell r="P394">
            <v>7</v>
          </cell>
        </row>
        <row r="395">
          <cell r="B395" t="str">
            <v>STD</v>
          </cell>
          <cell r="C395">
            <v>22</v>
          </cell>
          <cell r="D395">
            <v>9.5299999999999994</v>
          </cell>
          <cell r="E395">
            <v>1</v>
          </cell>
          <cell r="I395">
            <v>2.23</v>
          </cell>
          <cell r="J395">
            <v>6.47</v>
          </cell>
          <cell r="K395">
            <v>8.6999999999999993</v>
          </cell>
          <cell r="P395">
            <v>8</v>
          </cell>
        </row>
        <row r="396">
          <cell r="B396" t="str">
            <v>STD</v>
          </cell>
          <cell r="C396">
            <v>24</v>
          </cell>
          <cell r="D396">
            <v>9.5299999999999994</v>
          </cell>
          <cell r="E396">
            <v>1</v>
          </cell>
          <cell r="I396">
            <v>2.4300000000000002</v>
          </cell>
          <cell r="J396">
            <v>6.57</v>
          </cell>
          <cell r="K396">
            <v>9</v>
          </cell>
          <cell r="P396">
            <v>8</v>
          </cell>
        </row>
        <row r="397">
          <cell r="B397" t="str">
            <v>STD</v>
          </cell>
          <cell r="C397">
            <v>26</v>
          </cell>
          <cell r="D397">
            <v>9.5299999999999994</v>
          </cell>
          <cell r="E397">
            <v>1</v>
          </cell>
          <cell r="I397">
            <v>2.64</v>
          </cell>
          <cell r="J397">
            <v>7.7</v>
          </cell>
          <cell r="K397">
            <v>10.34</v>
          </cell>
          <cell r="P397">
            <v>9</v>
          </cell>
        </row>
        <row r="398">
          <cell r="B398" t="str">
            <v>STD</v>
          </cell>
          <cell r="C398">
            <v>28</v>
          </cell>
          <cell r="D398">
            <v>9.5299999999999994</v>
          </cell>
          <cell r="E398">
            <v>1</v>
          </cell>
          <cell r="I398">
            <v>2.84</v>
          </cell>
          <cell r="J398">
            <v>8.25</v>
          </cell>
          <cell r="K398">
            <v>11.09</v>
          </cell>
          <cell r="P398">
            <v>9</v>
          </cell>
        </row>
        <row r="399">
          <cell r="B399" t="str">
            <v>STD</v>
          </cell>
          <cell r="C399">
            <v>30</v>
          </cell>
          <cell r="D399">
            <v>9.5299999999999994</v>
          </cell>
          <cell r="E399">
            <v>1</v>
          </cell>
          <cell r="I399">
            <v>3.04</v>
          </cell>
          <cell r="J399">
            <v>8.9600000000000009</v>
          </cell>
          <cell r="K399">
            <v>12</v>
          </cell>
          <cell r="P399">
            <v>10</v>
          </cell>
        </row>
        <row r="400">
          <cell r="B400" t="str">
            <v>STD</v>
          </cell>
          <cell r="C400">
            <v>32</v>
          </cell>
          <cell r="D400">
            <v>9.5299999999999994</v>
          </cell>
          <cell r="E400">
            <v>1</v>
          </cell>
          <cell r="I400">
            <v>3.24</v>
          </cell>
          <cell r="J400">
            <v>9.51</v>
          </cell>
          <cell r="K400">
            <v>12.75</v>
          </cell>
          <cell r="P400">
            <v>11</v>
          </cell>
        </row>
        <row r="401">
          <cell r="B401" t="str">
            <v>STD</v>
          </cell>
          <cell r="C401">
            <v>34</v>
          </cell>
          <cell r="D401">
            <v>9.5299999999999994</v>
          </cell>
          <cell r="E401">
            <v>1</v>
          </cell>
          <cell r="I401">
            <v>3.45</v>
          </cell>
          <cell r="J401">
            <v>10.050000000000001</v>
          </cell>
          <cell r="K401">
            <v>13.5</v>
          </cell>
          <cell r="P401">
            <v>12</v>
          </cell>
        </row>
        <row r="402">
          <cell r="B402" t="str">
            <v>STD</v>
          </cell>
          <cell r="C402">
            <v>36</v>
          </cell>
          <cell r="D402">
            <v>9.5299999999999994</v>
          </cell>
          <cell r="E402">
            <v>1</v>
          </cell>
          <cell r="I402">
            <v>3.65</v>
          </cell>
          <cell r="J402">
            <v>10.6</v>
          </cell>
          <cell r="K402">
            <v>14.25</v>
          </cell>
          <cell r="P402">
            <v>12</v>
          </cell>
        </row>
        <row r="403">
          <cell r="B403" t="str">
            <v>STD</v>
          </cell>
          <cell r="C403">
            <v>38</v>
          </cell>
          <cell r="D403">
            <v>9.5299999999999994</v>
          </cell>
          <cell r="E403">
            <v>1</v>
          </cell>
          <cell r="I403">
            <v>3.85</v>
          </cell>
          <cell r="J403">
            <v>11.23</v>
          </cell>
          <cell r="K403">
            <v>15.08</v>
          </cell>
          <cell r="P403">
            <v>13</v>
          </cell>
        </row>
        <row r="404">
          <cell r="B404" t="str">
            <v>STD</v>
          </cell>
          <cell r="C404">
            <v>40</v>
          </cell>
          <cell r="D404">
            <v>9.5299999999999994</v>
          </cell>
          <cell r="E404">
            <v>1</v>
          </cell>
          <cell r="I404">
            <v>4.0599999999999996</v>
          </cell>
          <cell r="J404">
            <v>11.66</v>
          </cell>
          <cell r="K404">
            <v>15.719999999999999</v>
          </cell>
          <cell r="P404">
            <v>14</v>
          </cell>
        </row>
        <row r="405">
          <cell r="B405" t="str">
            <v>STD</v>
          </cell>
          <cell r="C405">
            <v>42</v>
          </cell>
          <cell r="D405">
            <v>9.5299999999999994</v>
          </cell>
          <cell r="E405">
            <v>1</v>
          </cell>
          <cell r="I405">
            <v>4.26</v>
          </cell>
          <cell r="J405">
            <v>12.24</v>
          </cell>
          <cell r="K405">
            <v>16.5</v>
          </cell>
          <cell r="P405">
            <v>14</v>
          </cell>
        </row>
        <row r="406">
          <cell r="B406" t="str">
            <v>STD</v>
          </cell>
          <cell r="C406">
            <v>44</v>
          </cell>
          <cell r="D406">
            <v>9.5299999999999994</v>
          </cell>
          <cell r="E406">
            <v>1</v>
          </cell>
          <cell r="I406">
            <v>4.47</v>
          </cell>
          <cell r="J406">
            <v>17.54</v>
          </cell>
          <cell r="K406">
            <v>22.009999999999998</v>
          </cell>
          <cell r="P406">
            <v>15</v>
          </cell>
        </row>
        <row r="407">
          <cell r="B407" t="str">
            <v>STD</v>
          </cell>
          <cell r="C407">
            <v>46</v>
          </cell>
          <cell r="D407">
            <v>9.5299999999999994</v>
          </cell>
          <cell r="E407">
            <v>1</v>
          </cell>
          <cell r="I407">
            <v>4.67</v>
          </cell>
          <cell r="J407">
            <v>18.329999999999998</v>
          </cell>
          <cell r="K407">
            <v>23</v>
          </cell>
          <cell r="P407">
            <v>16</v>
          </cell>
        </row>
        <row r="408">
          <cell r="B408" t="str">
            <v>STD</v>
          </cell>
          <cell r="C408">
            <v>48</v>
          </cell>
          <cell r="D408">
            <v>9.5299999999999994</v>
          </cell>
          <cell r="E408">
            <v>1</v>
          </cell>
          <cell r="I408">
            <v>4.87</v>
          </cell>
          <cell r="J408">
            <v>19.13</v>
          </cell>
          <cell r="K408">
            <v>24</v>
          </cell>
          <cell r="P408">
            <v>16</v>
          </cell>
        </row>
        <row r="409">
          <cell r="B409" t="str">
            <v xml:space="preserve">XS </v>
          </cell>
          <cell r="C409">
            <v>0.125</v>
          </cell>
          <cell r="D409">
            <v>2.41</v>
          </cell>
          <cell r="E409">
            <v>1</v>
          </cell>
          <cell r="I409">
            <v>7.0000000000000007E-2</v>
          </cell>
          <cell r="K409">
            <v>7.0000000000000007E-2</v>
          </cell>
          <cell r="P409">
            <v>2</v>
          </cell>
        </row>
        <row r="410">
          <cell r="B410" t="str">
            <v xml:space="preserve">XS </v>
          </cell>
          <cell r="C410">
            <v>0.125</v>
          </cell>
          <cell r="D410">
            <v>2.41</v>
          </cell>
          <cell r="E410">
            <v>1</v>
          </cell>
          <cell r="I410">
            <v>7.0000000000000007E-2</v>
          </cell>
          <cell r="K410">
            <v>7.0000000000000007E-2</v>
          </cell>
          <cell r="P410">
            <v>2</v>
          </cell>
        </row>
        <row r="411">
          <cell r="B411" t="str">
            <v xml:space="preserve">XS </v>
          </cell>
          <cell r="C411">
            <v>0.125</v>
          </cell>
          <cell r="D411">
            <v>2.41</v>
          </cell>
          <cell r="E411">
            <v>1</v>
          </cell>
          <cell r="I411">
            <v>7.0000000000000007E-2</v>
          </cell>
          <cell r="K411">
            <v>7.0000000000000007E-2</v>
          </cell>
          <cell r="P411">
            <v>2</v>
          </cell>
        </row>
        <row r="412">
          <cell r="B412" t="str">
            <v xml:space="preserve">XS </v>
          </cell>
          <cell r="C412">
            <v>0.25</v>
          </cell>
          <cell r="D412">
            <v>3.02</v>
          </cell>
          <cell r="E412">
            <v>1</v>
          </cell>
          <cell r="I412">
            <v>7.0000000000000007E-2</v>
          </cell>
          <cell r="K412">
            <v>7.0000000000000007E-2</v>
          </cell>
          <cell r="P412">
            <v>2</v>
          </cell>
        </row>
        <row r="413">
          <cell r="B413" t="str">
            <v xml:space="preserve">XS </v>
          </cell>
          <cell r="C413">
            <v>0.25</v>
          </cell>
          <cell r="D413">
            <v>3.02</v>
          </cell>
          <cell r="E413">
            <v>1</v>
          </cell>
          <cell r="I413">
            <v>7.0000000000000007E-2</v>
          </cell>
          <cell r="K413">
            <v>7.0000000000000007E-2</v>
          </cell>
          <cell r="P413">
            <v>2</v>
          </cell>
        </row>
        <row r="414">
          <cell r="B414" t="str">
            <v xml:space="preserve">XS </v>
          </cell>
          <cell r="C414">
            <v>0.25</v>
          </cell>
          <cell r="D414">
            <v>3.02</v>
          </cell>
          <cell r="E414">
            <v>1</v>
          </cell>
          <cell r="I414">
            <v>7.0000000000000007E-2</v>
          </cell>
          <cell r="K414">
            <v>7.0000000000000007E-2</v>
          </cell>
          <cell r="P414">
            <v>2</v>
          </cell>
        </row>
        <row r="415">
          <cell r="B415" t="str">
            <v xml:space="preserve">XS </v>
          </cell>
          <cell r="C415">
            <v>0.375</v>
          </cell>
          <cell r="D415">
            <v>3.2</v>
          </cell>
          <cell r="E415">
            <v>1</v>
          </cell>
          <cell r="I415">
            <v>7.0000000000000007E-2</v>
          </cell>
          <cell r="J415">
            <v>0</v>
          </cell>
          <cell r="K415">
            <v>7.0000000000000007E-2</v>
          </cell>
          <cell r="P415">
            <v>2</v>
          </cell>
        </row>
        <row r="416">
          <cell r="B416" t="str">
            <v xml:space="preserve">XS </v>
          </cell>
          <cell r="C416">
            <v>0.375</v>
          </cell>
          <cell r="D416">
            <v>3.2</v>
          </cell>
          <cell r="E416">
            <v>1</v>
          </cell>
          <cell r="I416">
            <v>7.0000000000000007E-2</v>
          </cell>
          <cell r="J416">
            <v>0</v>
          </cell>
          <cell r="K416">
            <v>7.0000000000000007E-2</v>
          </cell>
          <cell r="P416">
            <v>2</v>
          </cell>
        </row>
        <row r="417">
          <cell r="B417" t="str">
            <v xml:space="preserve">XS </v>
          </cell>
          <cell r="C417">
            <v>0.375</v>
          </cell>
          <cell r="D417">
            <v>3.2</v>
          </cell>
          <cell r="E417">
            <v>1</v>
          </cell>
          <cell r="I417">
            <v>7.0000000000000007E-2</v>
          </cell>
          <cell r="J417">
            <v>0</v>
          </cell>
          <cell r="K417">
            <v>7.0000000000000007E-2</v>
          </cell>
          <cell r="P417">
            <v>2</v>
          </cell>
        </row>
        <row r="418">
          <cell r="B418" t="str">
            <v xml:space="preserve">XS </v>
          </cell>
          <cell r="C418">
            <v>0.5</v>
          </cell>
          <cell r="D418">
            <v>3.73</v>
          </cell>
          <cell r="E418">
            <v>1</v>
          </cell>
          <cell r="I418">
            <v>7.0000000000000007E-2</v>
          </cell>
          <cell r="J418">
            <v>0</v>
          </cell>
          <cell r="K418">
            <v>7.0000000000000007E-2</v>
          </cell>
          <cell r="P418">
            <v>2</v>
          </cell>
        </row>
        <row r="419">
          <cell r="B419" t="str">
            <v xml:space="preserve">XS </v>
          </cell>
          <cell r="C419">
            <v>0.5</v>
          </cell>
          <cell r="D419">
            <v>3.73</v>
          </cell>
          <cell r="E419">
            <v>1</v>
          </cell>
          <cell r="I419">
            <v>7.0000000000000007E-2</v>
          </cell>
          <cell r="J419">
            <v>0</v>
          </cell>
          <cell r="K419">
            <v>7.0000000000000007E-2</v>
          </cell>
          <cell r="P419">
            <v>2</v>
          </cell>
        </row>
        <row r="420">
          <cell r="B420" t="str">
            <v xml:space="preserve">XS </v>
          </cell>
          <cell r="C420">
            <v>0.5</v>
          </cell>
          <cell r="D420">
            <v>3.73</v>
          </cell>
          <cell r="E420">
            <v>1</v>
          </cell>
          <cell r="I420">
            <v>7.0000000000000007E-2</v>
          </cell>
          <cell r="J420">
            <v>0</v>
          </cell>
          <cell r="K420">
            <v>7.0000000000000007E-2</v>
          </cell>
          <cell r="P420">
            <v>2</v>
          </cell>
        </row>
        <row r="421">
          <cell r="B421" t="str">
            <v xml:space="preserve">XS </v>
          </cell>
          <cell r="C421">
            <v>0.75</v>
          </cell>
          <cell r="D421">
            <v>3.91</v>
          </cell>
          <cell r="E421">
            <v>1</v>
          </cell>
          <cell r="I421">
            <v>7.0000000000000007E-2</v>
          </cell>
          <cell r="J421">
            <v>0</v>
          </cell>
          <cell r="K421">
            <v>7.0000000000000007E-2</v>
          </cell>
          <cell r="P421">
            <v>2</v>
          </cell>
        </row>
        <row r="422">
          <cell r="B422" t="str">
            <v xml:space="preserve">XS </v>
          </cell>
          <cell r="C422">
            <v>0.75</v>
          </cell>
          <cell r="D422">
            <v>3.91</v>
          </cell>
          <cell r="E422">
            <v>1</v>
          </cell>
          <cell r="I422">
            <v>7.0000000000000007E-2</v>
          </cell>
          <cell r="J422">
            <v>0</v>
          </cell>
          <cell r="K422">
            <v>7.0000000000000007E-2</v>
          </cell>
          <cell r="P422">
            <v>2</v>
          </cell>
        </row>
        <row r="423">
          <cell r="B423" t="str">
            <v xml:space="preserve">XS </v>
          </cell>
          <cell r="C423">
            <v>0.75</v>
          </cell>
          <cell r="D423">
            <v>3.91</v>
          </cell>
          <cell r="E423">
            <v>1</v>
          </cell>
          <cell r="I423">
            <v>7.0000000000000007E-2</v>
          </cell>
          <cell r="J423">
            <v>0</v>
          </cell>
          <cell r="K423">
            <v>7.0000000000000007E-2</v>
          </cell>
          <cell r="P423">
            <v>2</v>
          </cell>
        </row>
        <row r="424">
          <cell r="B424" t="str">
            <v xml:space="preserve">XS </v>
          </cell>
          <cell r="C424">
            <v>1</v>
          </cell>
          <cell r="D424">
            <v>4.55</v>
          </cell>
          <cell r="E424">
            <v>1</v>
          </cell>
          <cell r="I424">
            <v>0.15</v>
          </cell>
          <cell r="J424">
            <v>0</v>
          </cell>
          <cell r="K424">
            <v>0.15</v>
          </cell>
          <cell r="P424">
            <v>2</v>
          </cell>
        </row>
        <row r="425">
          <cell r="B425" t="str">
            <v xml:space="preserve">XS </v>
          </cell>
          <cell r="C425">
            <v>1</v>
          </cell>
          <cell r="D425">
            <v>4.55</v>
          </cell>
          <cell r="E425">
            <v>1</v>
          </cell>
          <cell r="I425">
            <v>0.15</v>
          </cell>
          <cell r="J425">
            <v>0</v>
          </cell>
          <cell r="K425">
            <v>0.15</v>
          </cell>
          <cell r="P425">
            <v>2</v>
          </cell>
        </row>
        <row r="426">
          <cell r="B426" t="str">
            <v xml:space="preserve">XS </v>
          </cell>
          <cell r="C426">
            <v>1</v>
          </cell>
          <cell r="D426">
            <v>4.55</v>
          </cell>
          <cell r="E426">
            <v>1</v>
          </cell>
          <cell r="I426">
            <v>0.15</v>
          </cell>
          <cell r="J426">
            <v>0</v>
          </cell>
          <cell r="K426">
            <v>0.15</v>
          </cell>
          <cell r="P426">
            <v>2</v>
          </cell>
        </row>
        <row r="427">
          <cell r="B427" t="str">
            <v xml:space="preserve">XS </v>
          </cell>
          <cell r="C427">
            <v>1.25</v>
          </cell>
          <cell r="D427">
            <v>4.8499999999999996</v>
          </cell>
          <cell r="E427">
            <v>1</v>
          </cell>
          <cell r="I427">
            <v>0.13</v>
          </cell>
          <cell r="J427">
            <v>0.17</v>
          </cell>
          <cell r="K427">
            <v>0.30000000000000004</v>
          </cell>
          <cell r="P427">
            <v>2</v>
          </cell>
        </row>
        <row r="428">
          <cell r="B428" t="str">
            <v xml:space="preserve">XS </v>
          </cell>
          <cell r="C428">
            <v>1.25</v>
          </cell>
          <cell r="D428">
            <v>4.8499999999999996</v>
          </cell>
          <cell r="E428">
            <v>1</v>
          </cell>
          <cell r="I428">
            <v>0.13</v>
          </cell>
          <cell r="J428">
            <v>0.17</v>
          </cell>
          <cell r="K428">
            <v>0.30000000000000004</v>
          </cell>
          <cell r="P428">
            <v>2</v>
          </cell>
        </row>
        <row r="429">
          <cell r="B429" t="str">
            <v xml:space="preserve">XS </v>
          </cell>
          <cell r="C429">
            <v>1.25</v>
          </cell>
          <cell r="D429">
            <v>4.8499999999999996</v>
          </cell>
          <cell r="E429">
            <v>1</v>
          </cell>
          <cell r="I429">
            <v>0.13</v>
          </cell>
          <cell r="J429">
            <v>0.17</v>
          </cell>
          <cell r="K429">
            <v>0.30000000000000004</v>
          </cell>
          <cell r="P429">
            <v>2</v>
          </cell>
        </row>
        <row r="430">
          <cell r="B430" t="str">
            <v xml:space="preserve">XS </v>
          </cell>
          <cell r="C430">
            <v>1.5</v>
          </cell>
          <cell r="D430">
            <v>5.08</v>
          </cell>
          <cell r="E430">
            <v>1</v>
          </cell>
          <cell r="I430">
            <v>0.15</v>
          </cell>
          <cell r="J430">
            <v>0.15</v>
          </cell>
          <cell r="K430">
            <v>0.3</v>
          </cell>
          <cell r="P430">
            <v>2</v>
          </cell>
        </row>
        <row r="431">
          <cell r="B431" t="str">
            <v xml:space="preserve">XS </v>
          </cell>
          <cell r="C431">
            <v>1.5</v>
          </cell>
          <cell r="D431">
            <v>5.08</v>
          </cell>
          <cell r="E431">
            <v>1</v>
          </cell>
          <cell r="I431">
            <v>0.15</v>
          </cell>
          <cell r="J431">
            <v>0.15</v>
          </cell>
          <cell r="K431">
            <v>0.3</v>
          </cell>
          <cell r="P431">
            <v>2</v>
          </cell>
        </row>
        <row r="432">
          <cell r="B432" t="str">
            <v xml:space="preserve">XS </v>
          </cell>
          <cell r="C432">
            <v>1.5</v>
          </cell>
          <cell r="D432">
            <v>5.08</v>
          </cell>
          <cell r="E432">
            <v>1</v>
          </cell>
          <cell r="I432">
            <v>0.15</v>
          </cell>
          <cell r="J432">
            <v>0.15</v>
          </cell>
          <cell r="K432">
            <v>0.3</v>
          </cell>
          <cell r="P432">
            <v>2</v>
          </cell>
        </row>
        <row r="433">
          <cell r="B433" t="str">
            <v xml:space="preserve">XS </v>
          </cell>
          <cell r="C433">
            <v>2</v>
          </cell>
          <cell r="D433">
            <v>5.54</v>
          </cell>
          <cell r="E433">
            <v>1</v>
          </cell>
          <cell r="I433">
            <v>0.2</v>
          </cell>
          <cell r="J433">
            <v>0.25</v>
          </cell>
          <cell r="K433">
            <v>0.45</v>
          </cell>
          <cell r="P433">
            <v>2</v>
          </cell>
        </row>
        <row r="434">
          <cell r="B434" t="str">
            <v xml:space="preserve">XS </v>
          </cell>
          <cell r="C434">
            <v>2</v>
          </cell>
          <cell r="D434">
            <v>5.54</v>
          </cell>
          <cell r="E434">
            <v>1</v>
          </cell>
          <cell r="I434">
            <v>0.2</v>
          </cell>
          <cell r="J434">
            <v>0.25</v>
          </cell>
          <cell r="K434">
            <v>0.45</v>
          </cell>
          <cell r="P434">
            <v>2</v>
          </cell>
        </row>
        <row r="435">
          <cell r="B435" t="str">
            <v xml:space="preserve">XS </v>
          </cell>
          <cell r="C435">
            <v>2</v>
          </cell>
          <cell r="D435">
            <v>5.54</v>
          </cell>
          <cell r="E435">
            <v>1</v>
          </cell>
          <cell r="I435">
            <v>0.2</v>
          </cell>
          <cell r="J435">
            <v>0.25</v>
          </cell>
          <cell r="K435">
            <v>0.45</v>
          </cell>
          <cell r="P435">
            <v>2</v>
          </cell>
        </row>
        <row r="436">
          <cell r="B436" t="str">
            <v xml:space="preserve">XS </v>
          </cell>
          <cell r="C436">
            <v>2.5</v>
          </cell>
          <cell r="D436">
            <v>7.01</v>
          </cell>
          <cell r="E436">
            <v>1</v>
          </cell>
          <cell r="I436">
            <v>0.25</v>
          </cell>
          <cell r="J436">
            <v>0.5</v>
          </cell>
          <cell r="K436">
            <v>0.75</v>
          </cell>
          <cell r="P436">
            <v>2</v>
          </cell>
        </row>
        <row r="437">
          <cell r="B437" t="str">
            <v xml:space="preserve">XS </v>
          </cell>
          <cell r="C437">
            <v>3</v>
          </cell>
          <cell r="D437">
            <v>7.62</v>
          </cell>
          <cell r="E437">
            <v>1</v>
          </cell>
          <cell r="I437">
            <v>0.3</v>
          </cell>
          <cell r="J437">
            <v>0.6</v>
          </cell>
          <cell r="K437">
            <v>0.89999999999999991</v>
          </cell>
          <cell r="P437">
            <v>2</v>
          </cell>
        </row>
        <row r="438">
          <cell r="B438" t="str">
            <v xml:space="preserve">XS </v>
          </cell>
          <cell r="C438">
            <v>3.5</v>
          </cell>
          <cell r="D438">
            <v>8.08</v>
          </cell>
          <cell r="E438">
            <v>1</v>
          </cell>
          <cell r="I438">
            <v>0.35</v>
          </cell>
          <cell r="J438">
            <v>0.85</v>
          </cell>
          <cell r="K438">
            <v>1.2</v>
          </cell>
          <cell r="P438">
            <v>3</v>
          </cell>
        </row>
        <row r="439">
          <cell r="B439" t="str">
            <v xml:space="preserve">XS </v>
          </cell>
          <cell r="C439">
            <v>4</v>
          </cell>
          <cell r="D439">
            <v>8.56</v>
          </cell>
          <cell r="E439">
            <v>1</v>
          </cell>
          <cell r="I439">
            <v>0.41</v>
          </cell>
          <cell r="J439">
            <v>0.93</v>
          </cell>
          <cell r="K439">
            <v>1.34</v>
          </cell>
          <cell r="P439">
            <v>3</v>
          </cell>
        </row>
        <row r="440">
          <cell r="B440" t="str">
            <v xml:space="preserve">XS </v>
          </cell>
          <cell r="C440">
            <v>5</v>
          </cell>
          <cell r="D440">
            <v>9.5299999999999994</v>
          </cell>
          <cell r="E440">
            <v>1</v>
          </cell>
          <cell r="I440">
            <v>0.51</v>
          </cell>
          <cell r="J440">
            <v>1.59</v>
          </cell>
          <cell r="K440">
            <v>2.1</v>
          </cell>
          <cell r="P440">
            <v>4</v>
          </cell>
        </row>
        <row r="441">
          <cell r="B441" t="str">
            <v xml:space="preserve">XS </v>
          </cell>
          <cell r="C441">
            <v>6</v>
          </cell>
          <cell r="D441">
            <v>10.97</v>
          </cell>
          <cell r="E441">
            <v>1.25</v>
          </cell>
          <cell r="I441">
            <v>0.61</v>
          </cell>
          <cell r="J441">
            <v>2.69</v>
          </cell>
          <cell r="K441">
            <v>3.3</v>
          </cell>
          <cell r="P441">
            <v>4</v>
          </cell>
        </row>
        <row r="442">
          <cell r="B442" t="str">
            <v xml:space="preserve">XS </v>
          </cell>
          <cell r="C442">
            <v>8</v>
          </cell>
          <cell r="D442">
            <v>12.7</v>
          </cell>
          <cell r="E442">
            <v>1.25</v>
          </cell>
          <cell r="I442">
            <v>0.81</v>
          </cell>
          <cell r="J442">
            <v>4.58</v>
          </cell>
          <cell r="K442">
            <v>5.3900000000000006</v>
          </cell>
          <cell r="P442">
            <v>4</v>
          </cell>
        </row>
        <row r="443">
          <cell r="B443" t="str">
            <v xml:space="preserve">XS </v>
          </cell>
          <cell r="C443">
            <v>10</v>
          </cell>
          <cell r="D443">
            <v>12.7</v>
          </cell>
          <cell r="E443">
            <v>1.25</v>
          </cell>
          <cell r="I443">
            <v>1.01</v>
          </cell>
          <cell r="J443">
            <v>5.74</v>
          </cell>
          <cell r="K443">
            <v>6.75</v>
          </cell>
          <cell r="P443">
            <v>4</v>
          </cell>
        </row>
        <row r="444">
          <cell r="B444" t="str">
            <v xml:space="preserve">XS </v>
          </cell>
          <cell r="C444">
            <v>12</v>
          </cell>
          <cell r="D444">
            <v>12.7</v>
          </cell>
          <cell r="E444">
            <v>1.25</v>
          </cell>
          <cell r="I444">
            <v>1.22</v>
          </cell>
          <cell r="J444">
            <v>6.73</v>
          </cell>
          <cell r="K444">
            <v>7.95</v>
          </cell>
          <cell r="P444">
            <v>6</v>
          </cell>
        </row>
        <row r="445">
          <cell r="B445" t="str">
            <v xml:space="preserve">XS </v>
          </cell>
          <cell r="C445">
            <v>14</v>
          </cell>
          <cell r="D445">
            <v>12.7</v>
          </cell>
          <cell r="E445">
            <v>1.25</v>
          </cell>
          <cell r="I445">
            <v>1.42</v>
          </cell>
          <cell r="J445">
            <v>7.28</v>
          </cell>
          <cell r="K445">
            <v>8.6999999999999993</v>
          </cell>
          <cell r="P445">
            <v>6</v>
          </cell>
        </row>
        <row r="446">
          <cell r="B446" t="str">
            <v xml:space="preserve">XS </v>
          </cell>
          <cell r="C446">
            <v>16</v>
          </cell>
          <cell r="D446">
            <v>12.7</v>
          </cell>
          <cell r="E446">
            <v>1.25</v>
          </cell>
          <cell r="I446">
            <v>1.62</v>
          </cell>
          <cell r="J446">
            <v>8.42</v>
          </cell>
          <cell r="K446">
            <v>10.039999999999999</v>
          </cell>
          <cell r="P446">
            <v>6</v>
          </cell>
        </row>
        <row r="447">
          <cell r="B447" t="str">
            <v xml:space="preserve">XS </v>
          </cell>
          <cell r="C447">
            <v>18</v>
          </cell>
          <cell r="D447">
            <v>12.7</v>
          </cell>
          <cell r="E447">
            <v>1.25</v>
          </cell>
          <cell r="I447">
            <v>1.82</v>
          </cell>
          <cell r="J447">
            <v>9.42</v>
          </cell>
          <cell r="K447">
            <v>11.24</v>
          </cell>
          <cell r="P447">
            <v>6</v>
          </cell>
        </row>
        <row r="448">
          <cell r="B448" t="str">
            <v xml:space="preserve">XS </v>
          </cell>
          <cell r="C448">
            <v>20</v>
          </cell>
          <cell r="D448">
            <v>12.7</v>
          </cell>
          <cell r="E448">
            <v>1.25</v>
          </cell>
          <cell r="I448">
            <v>2.0299999999999998</v>
          </cell>
          <cell r="J448">
            <v>10.42</v>
          </cell>
          <cell r="K448">
            <v>12.45</v>
          </cell>
          <cell r="P448">
            <v>7</v>
          </cell>
        </row>
        <row r="449">
          <cell r="B449" t="str">
            <v xml:space="preserve">XS </v>
          </cell>
          <cell r="C449">
            <v>22</v>
          </cell>
          <cell r="D449">
            <v>12.7</v>
          </cell>
          <cell r="E449">
            <v>1.25</v>
          </cell>
          <cell r="I449">
            <v>2.23</v>
          </cell>
          <cell r="J449">
            <v>11.72</v>
          </cell>
          <cell r="K449">
            <v>13.950000000000001</v>
          </cell>
          <cell r="P449">
            <v>8</v>
          </cell>
        </row>
        <row r="450">
          <cell r="B450" t="str">
            <v xml:space="preserve">XS </v>
          </cell>
          <cell r="C450">
            <v>24</v>
          </cell>
          <cell r="D450">
            <v>12.7</v>
          </cell>
          <cell r="E450">
            <v>1.25</v>
          </cell>
          <cell r="I450">
            <v>2.4300000000000002</v>
          </cell>
          <cell r="J450">
            <v>12.57</v>
          </cell>
          <cell r="K450">
            <v>15</v>
          </cell>
          <cell r="P450">
            <v>8</v>
          </cell>
        </row>
        <row r="451">
          <cell r="B451" t="str">
            <v xml:space="preserve">XS </v>
          </cell>
          <cell r="C451">
            <v>26</v>
          </cell>
          <cell r="D451">
            <v>12.7</v>
          </cell>
          <cell r="E451">
            <v>1.25</v>
          </cell>
          <cell r="I451">
            <v>2.64</v>
          </cell>
          <cell r="J451">
            <v>13.86</v>
          </cell>
          <cell r="K451">
            <v>16.5</v>
          </cell>
          <cell r="P451">
            <v>9</v>
          </cell>
        </row>
        <row r="452">
          <cell r="B452" t="str">
            <v xml:space="preserve">XS </v>
          </cell>
          <cell r="C452">
            <v>28</v>
          </cell>
          <cell r="D452">
            <v>12.7</v>
          </cell>
          <cell r="E452">
            <v>1.25</v>
          </cell>
          <cell r="I452">
            <v>2.84</v>
          </cell>
          <cell r="J452">
            <v>15.16</v>
          </cell>
          <cell r="K452">
            <v>18</v>
          </cell>
          <cell r="P452">
            <v>9</v>
          </cell>
        </row>
        <row r="453">
          <cell r="B453" t="str">
            <v xml:space="preserve">XS </v>
          </cell>
          <cell r="C453">
            <v>30</v>
          </cell>
          <cell r="D453">
            <v>12.7</v>
          </cell>
          <cell r="E453">
            <v>1.25</v>
          </cell>
          <cell r="I453">
            <v>3.04</v>
          </cell>
          <cell r="J453">
            <v>16.45</v>
          </cell>
          <cell r="K453">
            <v>19.489999999999998</v>
          </cell>
          <cell r="P453">
            <v>10</v>
          </cell>
        </row>
        <row r="454">
          <cell r="B454" t="str">
            <v xml:space="preserve">XS </v>
          </cell>
          <cell r="C454">
            <v>32</v>
          </cell>
          <cell r="D454">
            <v>12.7</v>
          </cell>
          <cell r="E454">
            <v>1.25</v>
          </cell>
          <cell r="I454">
            <v>3.24</v>
          </cell>
          <cell r="J454">
            <v>17.75</v>
          </cell>
          <cell r="K454">
            <v>20.990000000000002</v>
          </cell>
          <cell r="P454">
            <v>11</v>
          </cell>
        </row>
        <row r="455">
          <cell r="B455" t="str">
            <v xml:space="preserve">XS </v>
          </cell>
          <cell r="C455">
            <v>34</v>
          </cell>
          <cell r="D455">
            <v>12.7</v>
          </cell>
          <cell r="E455">
            <v>1.25</v>
          </cell>
          <cell r="I455">
            <v>3.45</v>
          </cell>
          <cell r="J455">
            <v>18.54</v>
          </cell>
          <cell r="K455">
            <v>21.99</v>
          </cell>
          <cell r="P455">
            <v>12</v>
          </cell>
        </row>
        <row r="456">
          <cell r="B456" t="str">
            <v xml:space="preserve">XS </v>
          </cell>
          <cell r="C456">
            <v>36</v>
          </cell>
          <cell r="D456">
            <v>12.7</v>
          </cell>
          <cell r="E456">
            <v>1.25</v>
          </cell>
          <cell r="I456">
            <v>3.65</v>
          </cell>
          <cell r="J456">
            <v>18.84</v>
          </cell>
          <cell r="K456">
            <v>22.49</v>
          </cell>
          <cell r="P456">
            <v>12</v>
          </cell>
        </row>
        <row r="457">
          <cell r="B457" t="str">
            <v xml:space="preserve">XS </v>
          </cell>
          <cell r="C457">
            <v>38</v>
          </cell>
          <cell r="D457">
            <v>12.7</v>
          </cell>
          <cell r="E457">
            <v>1.25</v>
          </cell>
          <cell r="I457">
            <v>3.85</v>
          </cell>
          <cell r="J457">
            <v>19.89</v>
          </cell>
          <cell r="K457">
            <v>23.740000000000002</v>
          </cell>
          <cell r="P457">
            <v>13</v>
          </cell>
        </row>
        <row r="458">
          <cell r="B458" t="str">
            <v xml:space="preserve">XS </v>
          </cell>
          <cell r="C458">
            <v>40</v>
          </cell>
          <cell r="D458">
            <v>12.7</v>
          </cell>
          <cell r="E458">
            <v>1.25</v>
          </cell>
          <cell r="I458">
            <v>4.0599999999999996</v>
          </cell>
          <cell r="J458">
            <v>21.66</v>
          </cell>
          <cell r="K458">
            <v>25.72</v>
          </cell>
          <cell r="P458">
            <v>14</v>
          </cell>
        </row>
        <row r="459">
          <cell r="B459" t="str">
            <v xml:space="preserve">XS </v>
          </cell>
          <cell r="C459">
            <v>42</v>
          </cell>
          <cell r="D459">
            <v>12.7</v>
          </cell>
          <cell r="E459">
            <v>1.25</v>
          </cell>
          <cell r="I459">
            <v>4.26</v>
          </cell>
          <cell r="J459">
            <v>22.74</v>
          </cell>
          <cell r="K459">
            <v>27</v>
          </cell>
          <cell r="P459">
            <v>14</v>
          </cell>
        </row>
        <row r="460">
          <cell r="B460" t="str">
            <v xml:space="preserve">XS </v>
          </cell>
          <cell r="C460">
            <v>44</v>
          </cell>
          <cell r="D460">
            <v>12.7</v>
          </cell>
          <cell r="E460">
            <v>1.25</v>
          </cell>
          <cell r="I460">
            <v>4.47</v>
          </cell>
          <cell r="J460">
            <v>27.16</v>
          </cell>
          <cell r="K460">
            <v>31.63</v>
          </cell>
          <cell r="P460">
            <v>15</v>
          </cell>
        </row>
        <row r="461">
          <cell r="B461" t="str">
            <v xml:space="preserve">XS </v>
          </cell>
          <cell r="C461">
            <v>46</v>
          </cell>
          <cell r="D461">
            <v>12.7</v>
          </cell>
          <cell r="E461">
            <v>1.25</v>
          </cell>
          <cell r="I461">
            <v>4.67</v>
          </cell>
          <cell r="J461">
            <v>28.4</v>
          </cell>
          <cell r="K461">
            <v>33.07</v>
          </cell>
          <cell r="P461">
            <v>16</v>
          </cell>
        </row>
        <row r="462">
          <cell r="B462" t="str">
            <v xml:space="preserve">XS </v>
          </cell>
          <cell r="C462">
            <v>48</v>
          </cell>
          <cell r="D462">
            <v>12.7</v>
          </cell>
          <cell r="E462">
            <v>1.25</v>
          </cell>
          <cell r="I462">
            <v>4.87</v>
          </cell>
          <cell r="J462">
            <v>29.63</v>
          </cell>
          <cell r="K462">
            <v>34.5</v>
          </cell>
          <cell r="P462">
            <v>16</v>
          </cell>
        </row>
        <row r="463">
          <cell r="B463" t="str">
            <v>XXS</v>
          </cell>
          <cell r="C463">
            <v>0.5</v>
          </cell>
          <cell r="D463">
            <v>7.47</v>
          </cell>
          <cell r="E463">
            <v>1</v>
          </cell>
          <cell r="I463">
            <v>7.0000000000000007E-2</v>
          </cell>
          <cell r="J463">
            <v>0.23</v>
          </cell>
          <cell r="K463">
            <v>0.30000000000000004</v>
          </cell>
          <cell r="P463">
            <v>2</v>
          </cell>
        </row>
        <row r="464">
          <cell r="B464" t="str">
            <v>XXS</v>
          </cell>
          <cell r="C464">
            <v>0.5</v>
          </cell>
          <cell r="D464">
            <v>7.47</v>
          </cell>
          <cell r="E464">
            <v>1</v>
          </cell>
          <cell r="I464">
            <v>7.0000000000000007E-2</v>
          </cell>
          <cell r="J464">
            <v>0.23</v>
          </cell>
          <cell r="K464">
            <v>0.30000000000000004</v>
          </cell>
          <cell r="P464">
            <v>2</v>
          </cell>
        </row>
        <row r="465">
          <cell r="B465" t="str">
            <v>XXS</v>
          </cell>
          <cell r="C465">
            <v>0.5</v>
          </cell>
          <cell r="D465">
            <v>7.47</v>
          </cell>
          <cell r="E465">
            <v>1</v>
          </cell>
          <cell r="I465">
            <v>7.0000000000000007E-2</v>
          </cell>
          <cell r="J465">
            <v>0.23</v>
          </cell>
          <cell r="K465">
            <v>0.30000000000000004</v>
          </cell>
          <cell r="P465">
            <v>2</v>
          </cell>
        </row>
        <row r="466">
          <cell r="B466" t="str">
            <v>XXS</v>
          </cell>
          <cell r="C466">
            <v>0.75</v>
          </cell>
          <cell r="D466">
            <v>7.82</v>
          </cell>
          <cell r="E466">
            <v>1</v>
          </cell>
          <cell r="I466">
            <v>0.08</v>
          </cell>
          <cell r="J466">
            <v>0.22</v>
          </cell>
          <cell r="K466">
            <v>0.3</v>
          </cell>
          <cell r="P466">
            <v>2</v>
          </cell>
        </row>
        <row r="467">
          <cell r="B467" t="str">
            <v>XXS</v>
          </cell>
          <cell r="C467">
            <v>0.75</v>
          </cell>
          <cell r="D467">
            <v>7.82</v>
          </cell>
          <cell r="E467">
            <v>1</v>
          </cell>
          <cell r="I467">
            <v>0.08</v>
          </cell>
          <cell r="J467">
            <v>0.22</v>
          </cell>
          <cell r="K467">
            <v>0.3</v>
          </cell>
          <cell r="P467">
            <v>2</v>
          </cell>
        </row>
        <row r="468">
          <cell r="B468" t="str">
            <v>XXS</v>
          </cell>
          <cell r="C468">
            <v>0.75</v>
          </cell>
          <cell r="D468">
            <v>7.82</v>
          </cell>
          <cell r="E468">
            <v>1</v>
          </cell>
          <cell r="I468">
            <v>0.08</v>
          </cell>
          <cell r="J468">
            <v>0.22</v>
          </cell>
          <cell r="K468">
            <v>0.3</v>
          </cell>
          <cell r="P468">
            <v>2</v>
          </cell>
        </row>
        <row r="469">
          <cell r="B469" t="str">
            <v>XXS</v>
          </cell>
          <cell r="C469">
            <v>1</v>
          </cell>
          <cell r="D469">
            <v>9.09</v>
          </cell>
          <cell r="E469">
            <v>1</v>
          </cell>
          <cell r="I469">
            <v>0.1</v>
          </cell>
          <cell r="J469">
            <v>0.5</v>
          </cell>
          <cell r="K469">
            <v>0.6</v>
          </cell>
          <cell r="P469">
            <v>2</v>
          </cell>
        </row>
        <row r="470">
          <cell r="B470" t="str">
            <v>XXS</v>
          </cell>
          <cell r="C470">
            <v>1</v>
          </cell>
          <cell r="D470">
            <v>9.09</v>
          </cell>
          <cell r="E470">
            <v>1</v>
          </cell>
          <cell r="I470">
            <v>0.1</v>
          </cell>
          <cell r="J470">
            <v>0.5</v>
          </cell>
          <cell r="K470">
            <v>0.6</v>
          </cell>
          <cell r="P470">
            <v>2</v>
          </cell>
        </row>
        <row r="471">
          <cell r="B471" t="str">
            <v>XXS</v>
          </cell>
          <cell r="C471">
            <v>1</v>
          </cell>
          <cell r="D471">
            <v>9.09</v>
          </cell>
          <cell r="E471">
            <v>1</v>
          </cell>
          <cell r="I471">
            <v>0.1</v>
          </cell>
          <cell r="J471">
            <v>0.5</v>
          </cell>
          <cell r="K471">
            <v>0.6</v>
          </cell>
          <cell r="P471">
            <v>2</v>
          </cell>
        </row>
        <row r="472">
          <cell r="B472" t="str">
            <v>XXS</v>
          </cell>
          <cell r="C472">
            <v>1.25</v>
          </cell>
          <cell r="D472">
            <v>9.6999999999999993</v>
          </cell>
          <cell r="E472">
            <v>1</v>
          </cell>
          <cell r="I472">
            <v>0.13</v>
          </cell>
          <cell r="J472">
            <v>0.67</v>
          </cell>
          <cell r="K472">
            <v>0.8</v>
          </cell>
          <cell r="P472">
            <v>2</v>
          </cell>
        </row>
        <row r="473">
          <cell r="B473" t="str">
            <v>XXS</v>
          </cell>
          <cell r="C473">
            <v>1.25</v>
          </cell>
          <cell r="D473">
            <v>9.6999999999999993</v>
          </cell>
          <cell r="E473">
            <v>1</v>
          </cell>
          <cell r="I473">
            <v>0.13</v>
          </cell>
          <cell r="J473">
            <v>0.67</v>
          </cell>
          <cell r="K473">
            <v>0.8</v>
          </cell>
          <cell r="P473">
            <v>2</v>
          </cell>
        </row>
        <row r="474">
          <cell r="B474" t="str">
            <v>XXS</v>
          </cell>
          <cell r="C474">
            <v>1.25</v>
          </cell>
          <cell r="D474">
            <v>9.6999999999999993</v>
          </cell>
          <cell r="E474">
            <v>1</v>
          </cell>
          <cell r="I474">
            <v>0.13</v>
          </cell>
          <cell r="J474">
            <v>0.67</v>
          </cell>
          <cell r="K474">
            <v>0.8</v>
          </cell>
          <cell r="P474">
            <v>2</v>
          </cell>
        </row>
        <row r="475">
          <cell r="B475" t="str">
            <v>XXS</v>
          </cell>
          <cell r="C475">
            <v>1.5</v>
          </cell>
          <cell r="D475">
            <v>10.15</v>
          </cell>
          <cell r="E475">
            <v>1.25</v>
          </cell>
          <cell r="I475">
            <v>0.15</v>
          </cell>
          <cell r="J475">
            <v>0.75</v>
          </cell>
          <cell r="K475">
            <v>0.9</v>
          </cell>
          <cell r="P475">
            <v>2</v>
          </cell>
        </row>
        <row r="476">
          <cell r="B476" t="str">
            <v>XXS</v>
          </cell>
          <cell r="C476">
            <v>1.5</v>
          </cell>
          <cell r="D476">
            <v>10.15</v>
          </cell>
          <cell r="E476">
            <v>1.25</v>
          </cell>
          <cell r="I476">
            <v>0.15</v>
          </cell>
          <cell r="J476">
            <v>0.75</v>
          </cell>
          <cell r="K476">
            <v>0.9</v>
          </cell>
          <cell r="P476">
            <v>2</v>
          </cell>
        </row>
        <row r="477">
          <cell r="B477" t="str">
            <v>XXS</v>
          </cell>
          <cell r="C477">
            <v>1.5</v>
          </cell>
          <cell r="D477">
            <v>10.15</v>
          </cell>
          <cell r="E477">
            <v>1.25</v>
          </cell>
          <cell r="I477">
            <v>0.15</v>
          </cell>
          <cell r="J477">
            <v>0.75</v>
          </cell>
          <cell r="K477">
            <v>0.9</v>
          </cell>
          <cell r="P477">
            <v>2</v>
          </cell>
        </row>
        <row r="478">
          <cell r="B478" t="str">
            <v>XXS</v>
          </cell>
          <cell r="C478">
            <v>2</v>
          </cell>
          <cell r="D478">
            <v>11.07</v>
          </cell>
          <cell r="E478">
            <v>1.25</v>
          </cell>
          <cell r="I478">
            <v>0.2</v>
          </cell>
          <cell r="J478">
            <v>1</v>
          </cell>
          <cell r="K478">
            <v>1.2</v>
          </cell>
          <cell r="P478">
            <v>4</v>
          </cell>
        </row>
        <row r="479">
          <cell r="B479" t="str">
            <v>XXS</v>
          </cell>
          <cell r="C479">
            <v>2</v>
          </cell>
          <cell r="D479">
            <v>11.07</v>
          </cell>
          <cell r="E479">
            <v>1.25</v>
          </cell>
          <cell r="I479">
            <v>0.2</v>
          </cell>
          <cell r="J479">
            <v>1</v>
          </cell>
          <cell r="K479">
            <v>1.2</v>
          </cell>
          <cell r="P479">
            <v>4</v>
          </cell>
        </row>
        <row r="480">
          <cell r="B480" t="str">
            <v>XXS</v>
          </cell>
          <cell r="C480">
            <v>2</v>
          </cell>
          <cell r="D480">
            <v>11.07</v>
          </cell>
          <cell r="E480">
            <v>1.25</v>
          </cell>
          <cell r="I480">
            <v>0.2</v>
          </cell>
          <cell r="J480">
            <v>1</v>
          </cell>
          <cell r="K480">
            <v>1.2</v>
          </cell>
          <cell r="P480">
            <v>4</v>
          </cell>
        </row>
        <row r="481">
          <cell r="B481" t="str">
            <v>XXS</v>
          </cell>
          <cell r="C481">
            <v>2.5</v>
          </cell>
          <cell r="D481">
            <v>14.02</v>
          </cell>
          <cell r="E481">
            <v>1.25</v>
          </cell>
          <cell r="I481">
            <v>0.25</v>
          </cell>
          <cell r="J481">
            <v>1.7</v>
          </cell>
          <cell r="K481">
            <v>1.95</v>
          </cell>
          <cell r="P481">
            <v>4</v>
          </cell>
        </row>
        <row r="482">
          <cell r="B482" t="str">
            <v>XXS</v>
          </cell>
          <cell r="C482">
            <v>3</v>
          </cell>
          <cell r="D482">
            <v>15.24</v>
          </cell>
          <cell r="E482">
            <v>1.5</v>
          </cell>
          <cell r="I482">
            <v>0.3</v>
          </cell>
          <cell r="J482">
            <v>2.39</v>
          </cell>
          <cell r="K482">
            <v>2.69</v>
          </cell>
          <cell r="P482">
            <v>4</v>
          </cell>
        </row>
        <row r="483">
          <cell r="B483" t="str">
            <v>XXS</v>
          </cell>
          <cell r="C483">
            <v>4</v>
          </cell>
          <cell r="D483">
            <v>17.12</v>
          </cell>
          <cell r="E483">
            <v>1.5</v>
          </cell>
          <cell r="I483">
            <v>0.41</v>
          </cell>
          <cell r="J483">
            <v>4.09</v>
          </cell>
          <cell r="K483">
            <v>4.5</v>
          </cell>
          <cell r="P483">
            <v>4</v>
          </cell>
        </row>
        <row r="484">
          <cell r="B484" t="str">
            <v>XXS</v>
          </cell>
          <cell r="C484">
            <v>5</v>
          </cell>
          <cell r="D484">
            <v>19.05</v>
          </cell>
          <cell r="E484">
            <v>2</v>
          </cell>
          <cell r="I484">
            <v>0.51</v>
          </cell>
          <cell r="J484">
            <v>4.43</v>
          </cell>
          <cell r="K484">
            <v>4.9399999999999995</v>
          </cell>
          <cell r="P484">
            <v>4</v>
          </cell>
        </row>
        <row r="485">
          <cell r="B485" t="str">
            <v>XXS</v>
          </cell>
          <cell r="C485">
            <v>6</v>
          </cell>
          <cell r="D485">
            <v>21.95</v>
          </cell>
          <cell r="E485">
            <v>2</v>
          </cell>
          <cell r="I485">
            <v>0.61</v>
          </cell>
          <cell r="J485">
            <v>8.09</v>
          </cell>
          <cell r="K485">
            <v>8.6999999999999993</v>
          </cell>
          <cell r="P485">
            <v>4</v>
          </cell>
        </row>
        <row r="486">
          <cell r="B486" t="str">
            <v>XXS</v>
          </cell>
          <cell r="C486">
            <v>8</v>
          </cell>
          <cell r="D486">
            <v>22.23</v>
          </cell>
          <cell r="E486">
            <v>2</v>
          </cell>
          <cell r="I486">
            <v>0.81</v>
          </cell>
          <cell r="J486">
            <v>11.49</v>
          </cell>
          <cell r="K486">
            <v>12.3</v>
          </cell>
          <cell r="P486">
            <v>4</v>
          </cell>
        </row>
        <row r="487">
          <cell r="B487" t="str">
            <v>XXS</v>
          </cell>
          <cell r="C487">
            <v>10</v>
          </cell>
          <cell r="D487">
            <v>25.4</v>
          </cell>
          <cell r="E487" t="str">
            <v>N</v>
          </cell>
          <cell r="I487">
            <v>1.01</v>
          </cell>
          <cell r="J487">
            <v>18.489999999999998</v>
          </cell>
          <cell r="K487">
            <v>19.5</v>
          </cell>
          <cell r="P487">
            <v>4</v>
          </cell>
        </row>
        <row r="488">
          <cell r="B488" t="str">
            <v>XXS</v>
          </cell>
          <cell r="C488">
            <v>12</v>
          </cell>
          <cell r="D488">
            <v>25.4</v>
          </cell>
          <cell r="E488" t="str">
            <v>N</v>
          </cell>
          <cell r="I488">
            <v>1.22</v>
          </cell>
          <cell r="J488">
            <v>21.27</v>
          </cell>
          <cell r="K488">
            <v>22.49</v>
          </cell>
          <cell r="P488">
            <v>6</v>
          </cell>
        </row>
        <row r="489">
          <cell r="B489">
            <v>8.73</v>
          </cell>
          <cell r="C489">
            <v>64</v>
          </cell>
          <cell r="D489">
            <v>8.73</v>
          </cell>
          <cell r="E489">
            <v>1</v>
          </cell>
          <cell r="I489">
            <v>6.49</v>
          </cell>
          <cell r="J489">
            <v>20.29</v>
          </cell>
          <cell r="K489">
            <v>26.78</v>
          </cell>
          <cell r="P489">
            <v>21</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J100"/>
  <sheetViews>
    <sheetView zoomScale="115" zoomScaleNormal="115" workbookViewId="0">
      <pane ySplit="3" topLeftCell="A4" activePane="bottomLeft" state="frozen"/>
      <selection pane="bottomLeft" activeCell="E85" sqref="E85"/>
    </sheetView>
  </sheetViews>
  <sheetFormatPr defaultRowHeight="18.75"/>
  <cols>
    <col min="1" max="1" width="4.140625" style="315" bestFit="1" customWidth="1"/>
    <col min="2" max="2" width="15.42578125" style="315" customWidth="1"/>
    <col min="3" max="3" width="5.140625" style="323" bestFit="1" customWidth="1"/>
    <col min="4" max="4" width="11.42578125" style="323" customWidth="1"/>
    <col min="5" max="5" width="48" style="365" bestFit="1" customWidth="1"/>
    <col min="6" max="6" width="10.85546875" style="387" customWidth="1"/>
    <col min="7" max="7" width="10.5703125" style="318" customWidth="1"/>
    <col min="8" max="8" width="11.42578125" style="318" bestFit="1" customWidth="1"/>
    <col min="9" max="9" width="11.28515625" style="318" bestFit="1" customWidth="1"/>
    <col min="10" max="16384" width="9.140625" style="315"/>
  </cols>
  <sheetData>
    <row r="1" spans="1:9">
      <c r="A1" s="483" t="s">
        <v>1101</v>
      </c>
      <c r="B1" s="483"/>
      <c r="C1" s="483"/>
      <c r="D1" s="483"/>
      <c r="E1" s="483"/>
      <c r="F1" s="483"/>
      <c r="G1" s="483"/>
      <c r="H1" s="483"/>
      <c r="I1" s="483"/>
    </row>
    <row r="2" spans="1:9">
      <c r="A2" s="316"/>
      <c r="B2" s="317"/>
      <c r="E2" s="346"/>
      <c r="I2" s="366"/>
    </row>
    <row r="3" spans="1:9" s="386" customFormat="1" ht="32.25" thickBot="1">
      <c r="A3" s="325" t="s">
        <v>255</v>
      </c>
      <c r="B3" s="325" t="s">
        <v>1102</v>
      </c>
      <c r="C3" s="325" t="s">
        <v>272</v>
      </c>
      <c r="D3" s="325" t="s">
        <v>1114</v>
      </c>
      <c r="E3" s="325" t="s">
        <v>1103</v>
      </c>
      <c r="F3" s="325" t="s">
        <v>2325</v>
      </c>
      <c r="G3" s="326" t="s">
        <v>2326</v>
      </c>
      <c r="H3" s="326" t="s">
        <v>2327</v>
      </c>
      <c r="I3" s="325" t="s">
        <v>1104</v>
      </c>
    </row>
    <row r="4" spans="1:9" ht="20.25" customHeight="1">
      <c r="A4" s="473">
        <v>1</v>
      </c>
      <c r="B4" s="476" t="s">
        <v>489</v>
      </c>
      <c r="C4" s="339">
        <v>1</v>
      </c>
      <c r="D4" s="340" t="s">
        <v>1107</v>
      </c>
      <c r="E4" s="347" t="s">
        <v>2557</v>
      </c>
      <c r="F4" s="367">
        <f>G4+H4</f>
        <v>3</v>
      </c>
      <c r="G4" s="341">
        <v>3</v>
      </c>
      <c r="H4" s="341"/>
      <c r="I4" s="368"/>
    </row>
    <row r="5" spans="1:9" ht="20.25" customHeight="1">
      <c r="A5" s="474"/>
      <c r="B5" s="477"/>
      <c r="C5" s="327">
        <v>2</v>
      </c>
      <c r="D5" s="328" t="s">
        <v>1108</v>
      </c>
      <c r="E5" s="348" t="s">
        <v>2558</v>
      </c>
      <c r="F5" s="369">
        <f t="shared" ref="F5:F68" si="0">G5+H5</f>
        <v>2</v>
      </c>
      <c r="G5" s="329">
        <v>2</v>
      </c>
      <c r="H5" s="329"/>
      <c r="I5" s="370"/>
    </row>
    <row r="6" spans="1:9" ht="20.25" customHeight="1">
      <c r="A6" s="474"/>
      <c r="B6" s="477"/>
      <c r="C6" s="327">
        <v>3</v>
      </c>
      <c r="D6" s="328" t="s">
        <v>1109</v>
      </c>
      <c r="E6" s="348" t="s">
        <v>2559</v>
      </c>
      <c r="F6" s="369">
        <f t="shared" si="0"/>
        <v>2</v>
      </c>
      <c r="G6" s="329">
        <v>2</v>
      </c>
      <c r="H6" s="329"/>
      <c r="I6" s="370"/>
    </row>
    <row r="7" spans="1:9" ht="20.25" customHeight="1">
      <c r="A7" s="474"/>
      <c r="B7" s="477"/>
      <c r="C7" s="327">
        <v>4</v>
      </c>
      <c r="D7" s="328" t="s">
        <v>1110</v>
      </c>
      <c r="E7" s="348" t="s">
        <v>2560</v>
      </c>
      <c r="F7" s="369">
        <f t="shared" si="0"/>
        <v>3</v>
      </c>
      <c r="G7" s="329">
        <v>3</v>
      </c>
      <c r="H7" s="329"/>
      <c r="I7" s="370"/>
    </row>
    <row r="8" spans="1:9" ht="20.25" customHeight="1">
      <c r="A8" s="474"/>
      <c r="B8" s="477"/>
      <c r="C8" s="327">
        <v>5</v>
      </c>
      <c r="D8" s="328" t="s">
        <v>1111</v>
      </c>
      <c r="E8" s="349" t="s">
        <v>2561</v>
      </c>
      <c r="F8" s="369">
        <f t="shared" si="0"/>
        <v>2</v>
      </c>
      <c r="G8" s="330">
        <v>2</v>
      </c>
      <c r="H8" s="330"/>
      <c r="I8" s="370"/>
    </row>
    <row r="9" spans="1:9" ht="20.25" customHeight="1">
      <c r="A9" s="474"/>
      <c r="B9" s="477"/>
      <c r="C9" s="327">
        <v>6</v>
      </c>
      <c r="D9" s="328" t="s">
        <v>1112</v>
      </c>
      <c r="E9" s="350"/>
      <c r="F9" s="369">
        <f>G9+H9</f>
        <v>0</v>
      </c>
      <c r="G9" s="330"/>
      <c r="H9" s="330"/>
      <c r="I9" s="370"/>
    </row>
    <row r="10" spans="1:9" ht="20.25" customHeight="1">
      <c r="A10" s="474"/>
      <c r="B10" s="477"/>
      <c r="C10" s="327">
        <v>7</v>
      </c>
      <c r="D10" s="328" t="s">
        <v>1113</v>
      </c>
      <c r="E10" s="350"/>
      <c r="F10" s="369">
        <f>G10+H10</f>
        <v>0</v>
      </c>
      <c r="G10" s="330"/>
      <c r="H10" s="330"/>
      <c r="I10" s="370"/>
    </row>
    <row r="11" spans="1:9" ht="20.25" customHeight="1">
      <c r="A11" s="474"/>
      <c r="B11" s="477"/>
      <c r="C11" s="327">
        <v>8</v>
      </c>
      <c r="D11" s="331" t="s">
        <v>2324</v>
      </c>
      <c r="E11" s="350"/>
      <c r="F11" s="369">
        <f>G11+H11</f>
        <v>0</v>
      </c>
      <c r="G11" s="330"/>
      <c r="H11" s="330"/>
      <c r="I11" s="370"/>
    </row>
    <row r="12" spans="1:9" ht="20.25" customHeight="1">
      <c r="A12" s="474"/>
      <c r="B12" s="477"/>
      <c r="C12" s="327">
        <v>9</v>
      </c>
      <c r="D12" s="332" t="s">
        <v>2554</v>
      </c>
      <c r="E12" s="351"/>
      <c r="F12" s="369">
        <f t="shared" si="0"/>
        <v>0</v>
      </c>
      <c r="G12" s="371"/>
      <c r="H12" s="371"/>
      <c r="I12" s="370"/>
    </row>
    <row r="13" spans="1:9" ht="20.25" customHeight="1">
      <c r="A13" s="474"/>
      <c r="B13" s="477"/>
      <c r="C13" s="327">
        <v>10</v>
      </c>
      <c r="D13" s="328" t="s">
        <v>169</v>
      </c>
      <c r="E13" s="352" t="s">
        <v>2562</v>
      </c>
      <c r="F13" s="369">
        <f>G13+H13</f>
        <v>2</v>
      </c>
      <c r="G13" s="371"/>
      <c r="H13" s="330">
        <v>2</v>
      </c>
      <c r="I13" s="370"/>
    </row>
    <row r="14" spans="1:9" ht="20.25" customHeight="1">
      <c r="A14" s="474"/>
      <c r="B14" s="477"/>
      <c r="C14" s="327">
        <v>11</v>
      </c>
      <c r="D14" s="328" t="s">
        <v>1143</v>
      </c>
      <c r="E14" s="352" t="s">
        <v>2563</v>
      </c>
      <c r="F14" s="369">
        <f>G14+H14</f>
        <v>2</v>
      </c>
      <c r="G14" s="371"/>
      <c r="H14" s="330">
        <v>2</v>
      </c>
      <c r="I14" s="370"/>
    </row>
    <row r="15" spans="1:9" ht="20.25" customHeight="1" thickBot="1">
      <c r="A15" s="475"/>
      <c r="B15" s="478"/>
      <c r="C15" s="343">
        <v>12</v>
      </c>
      <c r="D15" s="344" t="s">
        <v>954</v>
      </c>
      <c r="E15" s="353" t="s">
        <v>2564</v>
      </c>
      <c r="F15" s="372">
        <f>G15+H15</f>
        <v>2</v>
      </c>
      <c r="G15" s="373"/>
      <c r="H15" s="345">
        <v>2</v>
      </c>
      <c r="I15" s="374"/>
    </row>
    <row r="16" spans="1:9" ht="20.25" customHeight="1">
      <c r="A16" s="473">
        <v>2</v>
      </c>
      <c r="B16" s="476" t="s">
        <v>490</v>
      </c>
      <c r="C16" s="339">
        <v>1</v>
      </c>
      <c r="D16" s="340" t="s">
        <v>1107</v>
      </c>
      <c r="E16" s="347" t="s">
        <v>2557</v>
      </c>
      <c r="F16" s="367">
        <f t="shared" si="0"/>
        <v>3</v>
      </c>
      <c r="G16" s="341">
        <v>3</v>
      </c>
      <c r="H16" s="341"/>
      <c r="I16" s="368"/>
    </row>
    <row r="17" spans="1:9" ht="20.25" customHeight="1">
      <c r="A17" s="474"/>
      <c r="B17" s="477"/>
      <c r="C17" s="327">
        <v>2</v>
      </c>
      <c r="D17" s="328" t="s">
        <v>1108</v>
      </c>
      <c r="E17" s="348" t="s">
        <v>2558</v>
      </c>
      <c r="F17" s="369">
        <f t="shared" si="0"/>
        <v>2</v>
      </c>
      <c r="G17" s="329">
        <v>2</v>
      </c>
      <c r="H17" s="329"/>
      <c r="I17" s="370"/>
    </row>
    <row r="18" spans="1:9" ht="20.25" customHeight="1">
      <c r="A18" s="474"/>
      <c r="B18" s="477"/>
      <c r="C18" s="327">
        <v>3</v>
      </c>
      <c r="D18" s="328" t="s">
        <v>1109</v>
      </c>
      <c r="E18" s="349" t="s">
        <v>2565</v>
      </c>
      <c r="F18" s="369">
        <f t="shared" si="0"/>
        <v>2</v>
      </c>
      <c r="G18" s="329">
        <v>2</v>
      </c>
      <c r="H18" s="329"/>
      <c r="I18" s="370"/>
    </row>
    <row r="19" spans="1:9" ht="20.25" customHeight="1">
      <c r="A19" s="474"/>
      <c r="B19" s="477"/>
      <c r="C19" s="327">
        <v>4</v>
      </c>
      <c r="D19" s="328" t="s">
        <v>1110</v>
      </c>
      <c r="E19" s="351" t="s">
        <v>2566</v>
      </c>
      <c r="F19" s="369">
        <f t="shared" si="0"/>
        <v>2</v>
      </c>
      <c r="G19" s="329">
        <v>2</v>
      </c>
      <c r="H19" s="329"/>
      <c r="I19" s="370"/>
    </row>
    <row r="20" spans="1:9" ht="20.25" customHeight="1">
      <c r="A20" s="474"/>
      <c r="B20" s="477"/>
      <c r="C20" s="327">
        <v>5</v>
      </c>
      <c r="D20" s="328" t="s">
        <v>1111</v>
      </c>
      <c r="E20" s="351" t="s">
        <v>2567</v>
      </c>
      <c r="F20" s="369">
        <f t="shared" si="0"/>
        <v>3</v>
      </c>
      <c r="G20" s="330">
        <v>3</v>
      </c>
      <c r="H20" s="330"/>
      <c r="I20" s="370"/>
    </row>
    <row r="21" spans="1:9" ht="20.25" customHeight="1">
      <c r="A21" s="474"/>
      <c r="B21" s="477"/>
      <c r="C21" s="327">
        <v>6</v>
      </c>
      <c r="D21" s="328" t="s">
        <v>1112</v>
      </c>
      <c r="E21" s="351"/>
      <c r="F21" s="369">
        <f t="shared" si="0"/>
        <v>0</v>
      </c>
      <c r="G21" s="330"/>
      <c r="H21" s="330"/>
      <c r="I21" s="370"/>
    </row>
    <row r="22" spans="1:9" ht="20.25" customHeight="1">
      <c r="A22" s="474"/>
      <c r="B22" s="477"/>
      <c r="C22" s="327">
        <v>7</v>
      </c>
      <c r="D22" s="328" t="s">
        <v>1113</v>
      </c>
      <c r="E22" s="352"/>
      <c r="F22" s="369">
        <f t="shared" si="0"/>
        <v>0</v>
      </c>
      <c r="G22" s="330"/>
      <c r="H22" s="330"/>
      <c r="I22" s="370"/>
    </row>
    <row r="23" spans="1:9" ht="20.25" customHeight="1">
      <c r="A23" s="474"/>
      <c r="B23" s="477"/>
      <c r="C23" s="327">
        <v>8</v>
      </c>
      <c r="D23" s="331" t="s">
        <v>2324</v>
      </c>
      <c r="E23" s="352"/>
      <c r="F23" s="369">
        <f t="shared" si="0"/>
        <v>0</v>
      </c>
      <c r="G23" s="330"/>
      <c r="H23" s="330"/>
      <c r="I23" s="370"/>
    </row>
    <row r="24" spans="1:9" ht="20.25" customHeight="1">
      <c r="A24" s="474"/>
      <c r="B24" s="477"/>
      <c r="C24" s="327">
        <v>9</v>
      </c>
      <c r="D24" s="332" t="s">
        <v>2554</v>
      </c>
      <c r="E24" s="351"/>
      <c r="F24" s="369">
        <f t="shared" si="0"/>
        <v>0</v>
      </c>
      <c r="G24" s="371"/>
      <c r="H24" s="330"/>
      <c r="I24" s="370"/>
    </row>
    <row r="25" spans="1:9" ht="20.25" customHeight="1">
      <c r="A25" s="474"/>
      <c r="B25" s="477"/>
      <c r="C25" s="327">
        <v>10</v>
      </c>
      <c r="D25" s="328" t="s">
        <v>169</v>
      </c>
      <c r="E25" s="351" t="s">
        <v>2568</v>
      </c>
      <c r="F25" s="369">
        <f t="shared" si="0"/>
        <v>2</v>
      </c>
      <c r="G25" s="371"/>
      <c r="H25" s="330">
        <v>2</v>
      </c>
      <c r="I25" s="370"/>
    </row>
    <row r="26" spans="1:9" ht="20.25" customHeight="1">
      <c r="A26" s="474"/>
      <c r="B26" s="477"/>
      <c r="C26" s="327">
        <v>11</v>
      </c>
      <c r="D26" s="328" t="s">
        <v>1143</v>
      </c>
      <c r="E26" s="352" t="s">
        <v>2562</v>
      </c>
      <c r="F26" s="369">
        <f t="shared" si="0"/>
        <v>2</v>
      </c>
      <c r="G26" s="371"/>
      <c r="H26" s="330">
        <v>2</v>
      </c>
      <c r="I26" s="370"/>
    </row>
    <row r="27" spans="1:9" ht="20.25" customHeight="1" thickBot="1">
      <c r="A27" s="475"/>
      <c r="B27" s="478"/>
      <c r="C27" s="343">
        <v>12</v>
      </c>
      <c r="D27" s="344" t="s">
        <v>954</v>
      </c>
      <c r="E27" s="353" t="s">
        <v>2563</v>
      </c>
      <c r="F27" s="372">
        <f t="shared" si="0"/>
        <v>2</v>
      </c>
      <c r="G27" s="373"/>
      <c r="H27" s="345">
        <v>2</v>
      </c>
      <c r="I27" s="374"/>
    </row>
    <row r="28" spans="1:9" ht="20.25" customHeight="1">
      <c r="A28" s="473">
        <v>3</v>
      </c>
      <c r="B28" s="476" t="s">
        <v>2553</v>
      </c>
      <c r="C28" s="339">
        <v>1</v>
      </c>
      <c r="D28" s="340" t="s">
        <v>1107</v>
      </c>
      <c r="E28" s="347" t="s">
        <v>2569</v>
      </c>
      <c r="F28" s="367">
        <f t="shared" si="0"/>
        <v>2</v>
      </c>
      <c r="G28" s="375">
        <v>2</v>
      </c>
      <c r="H28" s="375"/>
      <c r="I28" s="368"/>
    </row>
    <row r="29" spans="1:9" ht="20.25" customHeight="1">
      <c r="A29" s="474"/>
      <c r="B29" s="477"/>
      <c r="C29" s="327">
        <v>2</v>
      </c>
      <c r="D29" s="328" t="s">
        <v>1108</v>
      </c>
      <c r="E29" s="348" t="s">
        <v>2570</v>
      </c>
      <c r="F29" s="369">
        <f t="shared" si="0"/>
        <v>2</v>
      </c>
      <c r="G29" s="371">
        <v>2</v>
      </c>
      <c r="H29" s="371"/>
      <c r="I29" s="370"/>
    </row>
    <row r="30" spans="1:9" ht="20.25" customHeight="1">
      <c r="A30" s="474"/>
      <c r="B30" s="477"/>
      <c r="C30" s="327">
        <v>3</v>
      </c>
      <c r="D30" s="328" t="s">
        <v>1109</v>
      </c>
      <c r="E30" s="348" t="s">
        <v>2571</v>
      </c>
      <c r="F30" s="369">
        <f t="shared" si="0"/>
        <v>3</v>
      </c>
      <c r="G30" s="371">
        <v>3</v>
      </c>
      <c r="H30" s="371"/>
      <c r="I30" s="370"/>
    </row>
    <row r="31" spans="1:9" ht="20.25" customHeight="1">
      <c r="A31" s="474"/>
      <c r="B31" s="477"/>
      <c r="C31" s="327">
        <v>4</v>
      </c>
      <c r="D31" s="328" t="s">
        <v>1110</v>
      </c>
      <c r="E31" s="352" t="s">
        <v>2572</v>
      </c>
      <c r="F31" s="369">
        <f t="shared" si="0"/>
        <v>3</v>
      </c>
      <c r="G31" s="371">
        <v>3</v>
      </c>
      <c r="H31" s="371"/>
      <c r="I31" s="370"/>
    </row>
    <row r="32" spans="1:9" ht="20.25" customHeight="1">
      <c r="A32" s="474"/>
      <c r="B32" s="477"/>
      <c r="C32" s="327">
        <v>5</v>
      </c>
      <c r="D32" s="328" t="s">
        <v>1111</v>
      </c>
      <c r="E32" s="349" t="s">
        <v>2575</v>
      </c>
      <c r="F32" s="369">
        <f t="shared" si="0"/>
        <v>2</v>
      </c>
      <c r="G32" s="371">
        <v>2</v>
      </c>
      <c r="H32" s="371"/>
      <c r="I32" s="370"/>
    </row>
    <row r="33" spans="1:9" ht="20.25" customHeight="1">
      <c r="A33" s="474"/>
      <c r="B33" s="477"/>
      <c r="C33" s="327">
        <v>6</v>
      </c>
      <c r="D33" s="328" t="s">
        <v>1112</v>
      </c>
      <c r="E33" s="349" t="s">
        <v>2576</v>
      </c>
      <c r="F33" s="369">
        <f t="shared" si="0"/>
        <v>2</v>
      </c>
      <c r="G33" s="371">
        <v>2</v>
      </c>
      <c r="H33" s="371"/>
      <c r="I33" s="370"/>
    </row>
    <row r="34" spans="1:9" ht="20.25" customHeight="1">
      <c r="A34" s="474"/>
      <c r="B34" s="477"/>
      <c r="C34" s="327">
        <v>7</v>
      </c>
      <c r="D34" s="328" t="s">
        <v>1113</v>
      </c>
      <c r="E34" s="351"/>
      <c r="F34" s="369">
        <f t="shared" si="0"/>
        <v>0</v>
      </c>
      <c r="G34" s="376"/>
      <c r="H34" s="376"/>
      <c r="I34" s="370"/>
    </row>
    <row r="35" spans="1:9" ht="20.25" customHeight="1">
      <c r="A35" s="474"/>
      <c r="B35" s="477"/>
      <c r="C35" s="327">
        <v>8</v>
      </c>
      <c r="D35" s="331" t="s">
        <v>2324</v>
      </c>
      <c r="E35" s="354" t="s">
        <v>2573</v>
      </c>
      <c r="F35" s="369">
        <f t="shared" si="0"/>
        <v>1</v>
      </c>
      <c r="G35" s="377"/>
      <c r="H35" s="377">
        <v>1</v>
      </c>
      <c r="I35" s="370"/>
    </row>
    <row r="36" spans="1:9" ht="20.25" customHeight="1">
      <c r="A36" s="474"/>
      <c r="B36" s="477"/>
      <c r="C36" s="327">
        <v>9</v>
      </c>
      <c r="D36" s="332" t="s">
        <v>2554</v>
      </c>
      <c r="E36" s="352" t="s">
        <v>2574</v>
      </c>
      <c r="F36" s="369">
        <f t="shared" si="0"/>
        <v>1</v>
      </c>
      <c r="G36" s="377"/>
      <c r="H36" s="377">
        <v>1</v>
      </c>
      <c r="I36" s="370"/>
    </row>
    <row r="37" spans="1:9" ht="20.25" customHeight="1">
      <c r="A37" s="474"/>
      <c r="B37" s="477"/>
      <c r="C37" s="327">
        <v>10</v>
      </c>
      <c r="D37" s="328" t="s">
        <v>169</v>
      </c>
      <c r="E37" s="352" t="s">
        <v>2577</v>
      </c>
      <c r="F37" s="369">
        <f t="shared" si="0"/>
        <v>2</v>
      </c>
      <c r="G37" s="376"/>
      <c r="H37" s="376">
        <v>2</v>
      </c>
      <c r="I37" s="370"/>
    </row>
    <row r="38" spans="1:9" ht="20.25" customHeight="1">
      <c r="A38" s="474"/>
      <c r="B38" s="477"/>
      <c r="C38" s="327">
        <v>11</v>
      </c>
      <c r="D38" s="328" t="s">
        <v>1143</v>
      </c>
      <c r="E38" s="355"/>
      <c r="F38" s="369">
        <f t="shared" si="0"/>
        <v>0</v>
      </c>
      <c r="G38" s="376"/>
      <c r="H38" s="376"/>
      <c r="I38" s="370"/>
    </row>
    <row r="39" spans="1:9" ht="20.25" customHeight="1" thickBot="1">
      <c r="A39" s="475"/>
      <c r="B39" s="478"/>
      <c r="C39" s="343">
        <v>12</v>
      </c>
      <c r="D39" s="344" t="s">
        <v>954</v>
      </c>
      <c r="E39" s="356"/>
      <c r="F39" s="372">
        <f t="shared" si="0"/>
        <v>0</v>
      </c>
      <c r="G39" s="373"/>
      <c r="H39" s="373"/>
      <c r="I39" s="374"/>
    </row>
    <row r="40" spans="1:9" ht="20.25" customHeight="1">
      <c r="A40" s="473">
        <v>4</v>
      </c>
      <c r="B40" s="476" t="s">
        <v>2555</v>
      </c>
      <c r="C40" s="339">
        <v>1</v>
      </c>
      <c r="D40" s="340" t="s">
        <v>1107</v>
      </c>
      <c r="E40" s="357" t="s">
        <v>2578</v>
      </c>
      <c r="F40" s="367">
        <f t="shared" si="0"/>
        <v>4</v>
      </c>
      <c r="G40" s="375">
        <v>4</v>
      </c>
      <c r="H40" s="375"/>
      <c r="I40" s="368"/>
    </row>
    <row r="41" spans="1:9" ht="20.25" customHeight="1">
      <c r="A41" s="474"/>
      <c r="B41" s="477"/>
      <c r="C41" s="327">
        <v>2</v>
      </c>
      <c r="D41" s="328" t="s">
        <v>1108</v>
      </c>
      <c r="E41" s="349" t="s">
        <v>2579</v>
      </c>
      <c r="F41" s="369">
        <f t="shared" si="0"/>
        <v>2</v>
      </c>
      <c r="G41" s="371">
        <v>2</v>
      </c>
      <c r="H41" s="371"/>
      <c r="I41" s="370"/>
    </row>
    <row r="42" spans="1:9" ht="20.25" customHeight="1">
      <c r="A42" s="474"/>
      <c r="B42" s="477"/>
      <c r="C42" s="327">
        <v>3</v>
      </c>
      <c r="D42" s="328" t="s">
        <v>1109</v>
      </c>
      <c r="E42" s="348"/>
      <c r="F42" s="369">
        <f t="shared" si="0"/>
        <v>0</v>
      </c>
      <c r="G42" s="371"/>
      <c r="H42" s="371"/>
      <c r="I42" s="370"/>
    </row>
    <row r="43" spans="1:9" ht="20.25" customHeight="1">
      <c r="A43" s="474"/>
      <c r="B43" s="477"/>
      <c r="C43" s="327">
        <v>4</v>
      </c>
      <c r="D43" s="328" t="s">
        <v>1110</v>
      </c>
      <c r="E43" s="352"/>
      <c r="F43" s="369">
        <f t="shared" si="0"/>
        <v>0</v>
      </c>
      <c r="G43" s="371"/>
      <c r="H43" s="371"/>
      <c r="I43" s="370"/>
    </row>
    <row r="44" spans="1:9" ht="20.25" customHeight="1">
      <c r="A44" s="474"/>
      <c r="B44" s="477"/>
      <c r="C44" s="327">
        <v>5</v>
      </c>
      <c r="D44" s="328" t="s">
        <v>1111</v>
      </c>
      <c r="E44" s="352"/>
      <c r="F44" s="369">
        <f t="shared" si="0"/>
        <v>0</v>
      </c>
      <c r="G44" s="371"/>
      <c r="H44" s="371"/>
      <c r="I44" s="370"/>
    </row>
    <row r="45" spans="1:9" ht="20.25" customHeight="1">
      <c r="A45" s="474"/>
      <c r="B45" s="477"/>
      <c r="C45" s="327">
        <v>6</v>
      </c>
      <c r="D45" s="328" t="s">
        <v>1112</v>
      </c>
      <c r="E45" s="351"/>
      <c r="F45" s="369">
        <f t="shared" si="0"/>
        <v>0</v>
      </c>
      <c r="G45" s="371"/>
      <c r="H45" s="371"/>
      <c r="I45" s="370"/>
    </row>
    <row r="46" spans="1:9" ht="20.25" customHeight="1">
      <c r="A46" s="474"/>
      <c r="B46" s="477"/>
      <c r="C46" s="327">
        <v>7</v>
      </c>
      <c r="D46" s="328" t="s">
        <v>1113</v>
      </c>
      <c r="E46" s="351"/>
      <c r="F46" s="369">
        <f t="shared" si="0"/>
        <v>0</v>
      </c>
      <c r="G46" s="371"/>
      <c r="H46" s="371"/>
      <c r="I46" s="370"/>
    </row>
    <row r="47" spans="1:9" ht="20.25" customHeight="1">
      <c r="A47" s="474"/>
      <c r="B47" s="477"/>
      <c r="C47" s="327">
        <v>8</v>
      </c>
      <c r="D47" s="331" t="s">
        <v>2324</v>
      </c>
      <c r="E47" s="348" t="s">
        <v>2583</v>
      </c>
      <c r="F47" s="369">
        <f t="shared" si="0"/>
        <v>1</v>
      </c>
      <c r="G47" s="377"/>
      <c r="H47" s="377">
        <v>1</v>
      </c>
      <c r="I47" s="370"/>
    </row>
    <row r="48" spans="1:9" ht="20.25" customHeight="1">
      <c r="A48" s="474"/>
      <c r="B48" s="477"/>
      <c r="C48" s="327">
        <v>9</v>
      </c>
      <c r="D48" s="332" t="s">
        <v>2554</v>
      </c>
      <c r="E48" s="358"/>
      <c r="F48" s="369">
        <f t="shared" si="0"/>
        <v>0</v>
      </c>
      <c r="G48" s="377"/>
      <c r="H48" s="377"/>
      <c r="I48" s="370"/>
    </row>
    <row r="49" spans="1:9" ht="20.25" customHeight="1">
      <c r="A49" s="474"/>
      <c r="B49" s="477"/>
      <c r="C49" s="327">
        <v>10</v>
      </c>
      <c r="D49" s="328" t="s">
        <v>169</v>
      </c>
      <c r="E49" s="348" t="s">
        <v>2580</v>
      </c>
      <c r="F49" s="369">
        <f t="shared" si="0"/>
        <v>2</v>
      </c>
      <c r="G49" s="376"/>
      <c r="H49" s="376">
        <v>2</v>
      </c>
      <c r="I49" s="370"/>
    </row>
    <row r="50" spans="1:9" ht="20.25" customHeight="1">
      <c r="A50" s="474"/>
      <c r="B50" s="477"/>
      <c r="C50" s="327">
        <v>11</v>
      </c>
      <c r="D50" s="328" t="s">
        <v>1143</v>
      </c>
      <c r="E50" s="352" t="s">
        <v>2581</v>
      </c>
      <c r="F50" s="369">
        <f t="shared" si="0"/>
        <v>2</v>
      </c>
      <c r="G50" s="376"/>
      <c r="H50" s="376">
        <v>2</v>
      </c>
      <c r="I50" s="370"/>
    </row>
    <row r="51" spans="1:9" ht="20.25" customHeight="1" thickBot="1">
      <c r="A51" s="475"/>
      <c r="B51" s="478"/>
      <c r="C51" s="343">
        <v>12</v>
      </c>
      <c r="D51" s="344" t="s">
        <v>954</v>
      </c>
      <c r="E51" s="353" t="s">
        <v>2582</v>
      </c>
      <c r="F51" s="372">
        <f t="shared" si="0"/>
        <v>2</v>
      </c>
      <c r="G51" s="373"/>
      <c r="H51" s="373">
        <v>2</v>
      </c>
      <c r="I51" s="374"/>
    </row>
    <row r="52" spans="1:9" ht="20.25" customHeight="1">
      <c r="A52" s="473">
        <v>5</v>
      </c>
      <c r="B52" s="476" t="s">
        <v>2556</v>
      </c>
      <c r="C52" s="339">
        <v>1</v>
      </c>
      <c r="D52" s="340" t="s">
        <v>1107</v>
      </c>
      <c r="E52" s="347" t="s">
        <v>2584</v>
      </c>
      <c r="F52" s="367">
        <f t="shared" si="0"/>
        <v>2</v>
      </c>
      <c r="G52" s="375">
        <v>2</v>
      </c>
      <c r="H52" s="375"/>
      <c r="I52" s="368"/>
    </row>
    <row r="53" spans="1:9" ht="20.25" customHeight="1">
      <c r="A53" s="474"/>
      <c r="B53" s="477"/>
      <c r="C53" s="327">
        <v>2</v>
      </c>
      <c r="D53" s="328" t="s">
        <v>1108</v>
      </c>
      <c r="E53" s="348" t="s">
        <v>2585</v>
      </c>
      <c r="F53" s="369">
        <f t="shared" si="0"/>
        <v>2</v>
      </c>
      <c r="G53" s="371">
        <v>2</v>
      </c>
      <c r="H53" s="371"/>
      <c r="I53" s="370"/>
    </row>
    <row r="54" spans="1:9" ht="20.25" customHeight="1">
      <c r="A54" s="474"/>
      <c r="B54" s="477"/>
      <c r="C54" s="327">
        <v>3</v>
      </c>
      <c r="D54" s="328" t="s">
        <v>1109</v>
      </c>
      <c r="E54" s="352" t="s">
        <v>2586</v>
      </c>
      <c r="F54" s="369">
        <f t="shared" si="0"/>
        <v>2</v>
      </c>
      <c r="G54" s="371">
        <v>2</v>
      </c>
      <c r="H54" s="371"/>
      <c r="I54" s="370"/>
    </row>
    <row r="55" spans="1:9" ht="20.25" customHeight="1">
      <c r="A55" s="474"/>
      <c r="B55" s="477"/>
      <c r="C55" s="327">
        <v>4</v>
      </c>
      <c r="D55" s="328" t="s">
        <v>1110</v>
      </c>
      <c r="E55" s="349" t="s">
        <v>2587</v>
      </c>
      <c r="F55" s="369">
        <f t="shared" si="0"/>
        <v>2</v>
      </c>
      <c r="G55" s="371">
        <v>2</v>
      </c>
      <c r="H55" s="371"/>
      <c r="I55" s="370"/>
    </row>
    <row r="56" spans="1:9" ht="20.25" customHeight="1">
      <c r="A56" s="474"/>
      <c r="B56" s="477"/>
      <c r="C56" s="327">
        <v>5</v>
      </c>
      <c r="D56" s="328" t="s">
        <v>1111</v>
      </c>
      <c r="E56" s="349" t="s">
        <v>2588</v>
      </c>
      <c r="F56" s="369">
        <f t="shared" si="0"/>
        <v>2</v>
      </c>
      <c r="G56" s="371">
        <v>2</v>
      </c>
      <c r="H56" s="371"/>
      <c r="I56" s="370"/>
    </row>
    <row r="57" spans="1:9" ht="20.25" customHeight="1">
      <c r="A57" s="474"/>
      <c r="B57" s="477"/>
      <c r="C57" s="327">
        <v>6</v>
      </c>
      <c r="D57" s="328" t="s">
        <v>1112</v>
      </c>
      <c r="E57" s="352"/>
      <c r="F57" s="369">
        <f t="shared" si="0"/>
        <v>0</v>
      </c>
      <c r="G57" s="371"/>
      <c r="H57" s="371"/>
      <c r="I57" s="370"/>
    </row>
    <row r="58" spans="1:9" ht="20.25" customHeight="1">
      <c r="A58" s="474"/>
      <c r="B58" s="477"/>
      <c r="C58" s="327">
        <v>7</v>
      </c>
      <c r="D58" s="328" t="s">
        <v>1113</v>
      </c>
      <c r="E58" s="352"/>
      <c r="F58" s="369">
        <f t="shared" si="0"/>
        <v>0</v>
      </c>
      <c r="G58" s="371"/>
      <c r="H58" s="371"/>
      <c r="I58" s="370"/>
    </row>
    <row r="59" spans="1:9" ht="20.25" customHeight="1">
      <c r="A59" s="474"/>
      <c r="B59" s="477"/>
      <c r="C59" s="327">
        <v>8</v>
      </c>
      <c r="D59" s="331" t="s">
        <v>2324</v>
      </c>
      <c r="E59" s="358"/>
      <c r="F59" s="369">
        <f t="shared" si="0"/>
        <v>0</v>
      </c>
      <c r="G59" s="377"/>
      <c r="H59" s="377"/>
      <c r="I59" s="370"/>
    </row>
    <row r="60" spans="1:9" ht="20.25" customHeight="1">
      <c r="A60" s="474"/>
      <c r="B60" s="477"/>
      <c r="C60" s="327">
        <v>9</v>
      </c>
      <c r="D60" s="332" t="s">
        <v>2554</v>
      </c>
      <c r="E60" s="358"/>
      <c r="F60" s="369">
        <f t="shared" si="0"/>
        <v>0</v>
      </c>
      <c r="G60" s="377"/>
      <c r="H60" s="377"/>
      <c r="I60" s="370"/>
    </row>
    <row r="61" spans="1:9" ht="20.25" customHeight="1">
      <c r="A61" s="474"/>
      <c r="B61" s="477"/>
      <c r="C61" s="327">
        <v>10</v>
      </c>
      <c r="D61" s="328" t="s">
        <v>169</v>
      </c>
      <c r="E61" s="352" t="s">
        <v>2589</v>
      </c>
      <c r="F61" s="369">
        <f t="shared" si="0"/>
        <v>2</v>
      </c>
      <c r="G61" s="376"/>
      <c r="H61" s="376">
        <v>2</v>
      </c>
      <c r="I61" s="370"/>
    </row>
    <row r="62" spans="1:9" ht="20.25" customHeight="1">
      <c r="A62" s="474"/>
      <c r="B62" s="477"/>
      <c r="C62" s="327">
        <v>11</v>
      </c>
      <c r="D62" s="328" t="s">
        <v>1143</v>
      </c>
      <c r="E62" s="352" t="s">
        <v>2590</v>
      </c>
      <c r="F62" s="369">
        <f t="shared" si="0"/>
        <v>2</v>
      </c>
      <c r="G62" s="376"/>
      <c r="H62" s="376">
        <v>2</v>
      </c>
      <c r="I62" s="370"/>
    </row>
    <row r="63" spans="1:9" ht="20.25" customHeight="1" thickBot="1">
      <c r="A63" s="475"/>
      <c r="B63" s="478"/>
      <c r="C63" s="343">
        <v>12</v>
      </c>
      <c r="D63" s="344" t="s">
        <v>954</v>
      </c>
      <c r="E63" s="356"/>
      <c r="F63" s="372">
        <f t="shared" si="0"/>
        <v>0</v>
      </c>
      <c r="G63" s="373"/>
      <c r="H63" s="373"/>
      <c r="I63" s="374"/>
    </row>
    <row r="64" spans="1:9" ht="20.25" customHeight="1">
      <c r="A64" s="473">
        <v>6</v>
      </c>
      <c r="B64" s="476" t="s">
        <v>1105</v>
      </c>
      <c r="C64" s="339">
        <v>1</v>
      </c>
      <c r="D64" s="340" t="s">
        <v>1107</v>
      </c>
      <c r="E64" s="347" t="s">
        <v>2591</v>
      </c>
      <c r="F64" s="367">
        <f t="shared" si="0"/>
        <v>2</v>
      </c>
      <c r="G64" s="375">
        <v>2</v>
      </c>
      <c r="H64" s="375"/>
      <c r="I64" s="368"/>
    </row>
    <row r="65" spans="1:9" ht="20.25" customHeight="1">
      <c r="A65" s="474"/>
      <c r="B65" s="477"/>
      <c r="C65" s="327">
        <v>2</v>
      </c>
      <c r="D65" s="328" t="s">
        <v>1108</v>
      </c>
      <c r="E65" s="348" t="s">
        <v>2592</v>
      </c>
      <c r="F65" s="369">
        <f t="shared" si="0"/>
        <v>2</v>
      </c>
      <c r="G65" s="371">
        <v>2</v>
      </c>
      <c r="H65" s="371"/>
      <c r="I65" s="370"/>
    </row>
    <row r="66" spans="1:9" ht="20.25" customHeight="1">
      <c r="A66" s="474"/>
      <c r="B66" s="477"/>
      <c r="C66" s="327">
        <v>3</v>
      </c>
      <c r="D66" s="328" t="s">
        <v>1109</v>
      </c>
      <c r="E66" s="348" t="s">
        <v>2593</v>
      </c>
      <c r="F66" s="369">
        <f t="shared" si="0"/>
        <v>2</v>
      </c>
      <c r="G66" s="371">
        <v>2</v>
      </c>
      <c r="H66" s="371"/>
      <c r="I66" s="370"/>
    </row>
    <row r="67" spans="1:9" ht="20.25" customHeight="1">
      <c r="A67" s="474"/>
      <c r="B67" s="477"/>
      <c r="C67" s="327">
        <v>4</v>
      </c>
      <c r="D67" s="328" t="s">
        <v>1110</v>
      </c>
      <c r="E67" s="349" t="s">
        <v>2597</v>
      </c>
      <c r="F67" s="369">
        <f t="shared" si="0"/>
        <v>2</v>
      </c>
      <c r="G67" s="371">
        <v>2</v>
      </c>
      <c r="H67" s="371"/>
      <c r="I67" s="370"/>
    </row>
    <row r="68" spans="1:9" ht="20.25" customHeight="1">
      <c r="A68" s="474"/>
      <c r="B68" s="477"/>
      <c r="C68" s="327">
        <v>5</v>
      </c>
      <c r="D68" s="328" t="s">
        <v>1111</v>
      </c>
      <c r="E68" s="351"/>
      <c r="F68" s="369">
        <f t="shared" si="0"/>
        <v>0</v>
      </c>
      <c r="G68" s="371"/>
      <c r="H68" s="371"/>
      <c r="I68" s="370"/>
    </row>
    <row r="69" spans="1:9" ht="20.25" customHeight="1">
      <c r="A69" s="474"/>
      <c r="B69" s="477"/>
      <c r="C69" s="327">
        <v>6</v>
      </c>
      <c r="D69" s="328" t="s">
        <v>1112</v>
      </c>
      <c r="E69" s="351"/>
      <c r="F69" s="369">
        <f t="shared" ref="F69:F99" si="1">G69+H69</f>
        <v>0</v>
      </c>
      <c r="G69" s="371"/>
      <c r="H69" s="371"/>
      <c r="I69" s="370"/>
    </row>
    <row r="70" spans="1:9" ht="20.25" customHeight="1">
      <c r="A70" s="474"/>
      <c r="B70" s="477"/>
      <c r="C70" s="327">
        <v>7</v>
      </c>
      <c r="D70" s="328" t="s">
        <v>1113</v>
      </c>
      <c r="E70" s="351"/>
      <c r="F70" s="369">
        <f t="shared" si="1"/>
        <v>0</v>
      </c>
      <c r="G70" s="371"/>
      <c r="H70" s="371"/>
      <c r="I70" s="370"/>
    </row>
    <row r="71" spans="1:9" ht="20.25" customHeight="1">
      <c r="A71" s="474"/>
      <c r="B71" s="477"/>
      <c r="C71" s="327">
        <v>8</v>
      </c>
      <c r="D71" s="331" t="s">
        <v>2324</v>
      </c>
      <c r="E71" s="352" t="s">
        <v>2594</v>
      </c>
      <c r="F71" s="369">
        <f t="shared" si="1"/>
        <v>1</v>
      </c>
      <c r="G71" s="377"/>
      <c r="H71" s="377">
        <v>1</v>
      </c>
      <c r="I71" s="370"/>
    </row>
    <row r="72" spans="1:9" ht="20.25" customHeight="1">
      <c r="A72" s="474"/>
      <c r="B72" s="477"/>
      <c r="C72" s="327">
        <v>9</v>
      </c>
      <c r="D72" s="332" t="s">
        <v>2554</v>
      </c>
      <c r="E72" s="358"/>
      <c r="F72" s="369">
        <f t="shared" si="1"/>
        <v>0</v>
      </c>
      <c r="G72" s="377"/>
      <c r="H72" s="377"/>
      <c r="I72" s="370"/>
    </row>
    <row r="73" spans="1:9" ht="20.25" customHeight="1">
      <c r="A73" s="474"/>
      <c r="B73" s="477"/>
      <c r="C73" s="327">
        <v>10</v>
      </c>
      <c r="D73" s="328" t="s">
        <v>169</v>
      </c>
      <c r="E73" s="352" t="s">
        <v>2595</v>
      </c>
      <c r="F73" s="369">
        <f t="shared" si="1"/>
        <v>2</v>
      </c>
      <c r="G73" s="376"/>
      <c r="H73" s="371">
        <v>2</v>
      </c>
      <c r="I73" s="370"/>
    </row>
    <row r="74" spans="1:9" ht="20.25" customHeight="1">
      <c r="A74" s="474"/>
      <c r="B74" s="477"/>
      <c r="C74" s="327">
        <v>11</v>
      </c>
      <c r="D74" s="328" t="s">
        <v>1143</v>
      </c>
      <c r="E74" s="352" t="s">
        <v>2596</v>
      </c>
      <c r="F74" s="369">
        <f t="shared" si="1"/>
        <v>2</v>
      </c>
      <c r="G74" s="376"/>
      <c r="H74" s="371">
        <v>2</v>
      </c>
      <c r="I74" s="370"/>
    </row>
    <row r="75" spans="1:9" ht="20.25" customHeight="1" thickBot="1">
      <c r="A75" s="475"/>
      <c r="B75" s="478"/>
      <c r="C75" s="343">
        <v>12</v>
      </c>
      <c r="D75" s="344" t="s">
        <v>954</v>
      </c>
      <c r="E75" s="359"/>
      <c r="F75" s="372">
        <f t="shared" si="1"/>
        <v>0</v>
      </c>
      <c r="G75" s="373"/>
      <c r="H75" s="378"/>
      <c r="I75" s="374"/>
    </row>
    <row r="76" spans="1:9" ht="20.25" customHeight="1">
      <c r="A76" s="473">
        <v>7</v>
      </c>
      <c r="B76" s="476" t="s">
        <v>491</v>
      </c>
      <c r="C76" s="339">
        <v>1</v>
      </c>
      <c r="D76" s="340" t="s">
        <v>1107</v>
      </c>
      <c r="E76" s="360" t="s">
        <v>2598</v>
      </c>
      <c r="F76" s="367">
        <f t="shared" si="1"/>
        <v>2</v>
      </c>
      <c r="G76" s="341">
        <v>2</v>
      </c>
      <c r="H76" s="342"/>
      <c r="I76" s="368"/>
    </row>
    <row r="77" spans="1:9" ht="20.25" customHeight="1">
      <c r="A77" s="474"/>
      <c r="B77" s="477"/>
      <c r="C77" s="327">
        <v>2</v>
      </c>
      <c r="D77" s="328" t="s">
        <v>1108</v>
      </c>
      <c r="E77" s="352" t="s">
        <v>2599</v>
      </c>
      <c r="F77" s="369">
        <f t="shared" si="1"/>
        <v>2</v>
      </c>
      <c r="G77" s="330">
        <v>2</v>
      </c>
      <c r="H77" s="330"/>
      <c r="I77" s="370"/>
    </row>
    <row r="78" spans="1:9" ht="20.25" customHeight="1">
      <c r="A78" s="474"/>
      <c r="B78" s="477"/>
      <c r="C78" s="327">
        <v>3</v>
      </c>
      <c r="D78" s="328" t="s">
        <v>1109</v>
      </c>
      <c r="E78" s="348" t="s">
        <v>2600</v>
      </c>
      <c r="F78" s="369">
        <f t="shared" si="1"/>
        <v>4</v>
      </c>
      <c r="G78" s="330">
        <v>2</v>
      </c>
      <c r="H78" s="330">
        <v>2</v>
      </c>
      <c r="I78" s="370"/>
    </row>
    <row r="79" spans="1:9" ht="20.25" customHeight="1">
      <c r="A79" s="474"/>
      <c r="B79" s="477"/>
      <c r="C79" s="327">
        <v>4</v>
      </c>
      <c r="D79" s="328" t="s">
        <v>1110</v>
      </c>
      <c r="E79" s="349" t="s">
        <v>2601</v>
      </c>
      <c r="F79" s="369">
        <f t="shared" si="1"/>
        <v>5</v>
      </c>
      <c r="G79" s="330">
        <v>3</v>
      </c>
      <c r="H79" s="330">
        <v>2</v>
      </c>
      <c r="I79" s="370"/>
    </row>
    <row r="80" spans="1:9" ht="20.25" customHeight="1">
      <c r="A80" s="474"/>
      <c r="B80" s="477"/>
      <c r="C80" s="327">
        <v>5</v>
      </c>
      <c r="D80" s="328" t="s">
        <v>1111</v>
      </c>
      <c r="E80" s="351"/>
      <c r="F80" s="369">
        <f t="shared" si="1"/>
        <v>0</v>
      </c>
      <c r="G80" s="330"/>
      <c r="H80" s="330"/>
      <c r="I80" s="370"/>
    </row>
    <row r="81" spans="1:9" ht="20.25" customHeight="1">
      <c r="A81" s="474"/>
      <c r="B81" s="477"/>
      <c r="C81" s="327">
        <v>6</v>
      </c>
      <c r="D81" s="328" t="s">
        <v>1112</v>
      </c>
      <c r="E81" s="351"/>
      <c r="F81" s="369">
        <f t="shared" si="1"/>
        <v>0</v>
      </c>
      <c r="G81" s="330"/>
      <c r="H81" s="330"/>
      <c r="I81" s="370"/>
    </row>
    <row r="82" spans="1:9" ht="20.25" customHeight="1">
      <c r="A82" s="474"/>
      <c r="B82" s="477"/>
      <c r="C82" s="327">
        <v>7</v>
      </c>
      <c r="D82" s="328" t="s">
        <v>1113</v>
      </c>
      <c r="E82" s="355"/>
      <c r="F82" s="369">
        <f t="shared" si="1"/>
        <v>0</v>
      </c>
      <c r="G82" s="376"/>
      <c r="H82" s="376"/>
      <c r="I82" s="370"/>
    </row>
    <row r="83" spans="1:9" ht="20.25" customHeight="1">
      <c r="A83" s="474"/>
      <c r="B83" s="477"/>
      <c r="C83" s="327">
        <v>8</v>
      </c>
      <c r="D83" s="331" t="s">
        <v>2324</v>
      </c>
      <c r="E83" s="358"/>
      <c r="F83" s="369">
        <f t="shared" si="1"/>
        <v>0</v>
      </c>
      <c r="G83" s="376"/>
      <c r="H83" s="376"/>
      <c r="I83" s="370"/>
    </row>
    <row r="84" spans="1:9" ht="20.25" customHeight="1">
      <c r="A84" s="474"/>
      <c r="B84" s="477"/>
      <c r="C84" s="327">
        <v>9</v>
      </c>
      <c r="D84" s="332" t="s">
        <v>2554</v>
      </c>
      <c r="E84" s="358"/>
      <c r="F84" s="369">
        <f t="shared" si="1"/>
        <v>0</v>
      </c>
      <c r="G84" s="376"/>
      <c r="H84" s="376"/>
      <c r="I84" s="370"/>
    </row>
    <row r="85" spans="1:9" ht="20.25" customHeight="1">
      <c r="A85" s="474"/>
      <c r="B85" s="477"/>
      <c r="C85" s="327">
        <v>10</v>
      </c>
      <c r="D85" s="328" t="s">
        <v>169</v>
      </c>
      <c r="E85" s="358"/>
      <c r="F85" s="369">
        <f t="shared" si="1"/>
        <v>0</v>
      </c>
      <c r="G85" s="377"/>
      <c r="H85" s="377"/>
      <c r="I85" s="370"/>
    </row>
    <row r="86" spans="1:9" ht="20.25" customHeight="1">
      <c r="A86" s="474"/>
      <c r="B86" s="477"/>
      <c r="C86" s="327">
        <v>11</v>
      </c>
      <c r="D86" s="328" t="s">
        <v>1143</v>
      </c>
      <c r="E86" s="358"/>
      <c r="F86" s="369">
        <f t="shared" si="1"/>
        <v>0</v>
      </c>
      <c r="G86" s="377"/>
      <c r="H86" s="377"/>
      <c r="I86" s="370"/>
    </row>
    <row r="87" spans="1:9" ht="20.25" customHeight="1" thickBot="1">
      <c r="A87" s="475"/>
      <c r="B87" s="478"/>
      <c r="C87" s="343">
        <v>12</v>
      </c>
      <c r="D87" s="344" t="s">
        <v>954</v>
      </c>
      <c r="E87" s="361"/>
      <c r="F87" s="372">
        <f t="shared" si="1"/>
        <v>0</v>
      </c>
      <c r="G87" s="379"/>
      <c r="H87" s="379"/>
      <c r="I87" s="374"/>
    </row>
    <row r="88" spans="1:9" ht="20.25" customHeight="1">
      <c r="A88" s="481">
        <v>8</v>
      </c>
      <c r="B88" s="479" t="s">
        <v>1106</v>
      </c>
      <c r="C88" s="335">
        <v>1</v>
      </c>
      <c r="D88" s="336" t="s">
        <v>1107</v>
      </c>
      <c r="E88" s="362" t="s">
        <v>2598</v>
      </c>
      <c r="F88" s="380">
        <f t="shared" si="1"/>
        <v>2</v>
      </c>
      <c r="G88" s="337">
        <v>2</v>
      </c>
      <c r="H88" s="338"/>
      <c r="I88" s="381"/>
    </row>
    <row r="89" spans="1:9" ht="20.25" customHeight="1">
      <c r="A89" s="474"/>
      <c r="B89" s="477"/>
      <c r="C89" s="327">
        <v>2</v>
      </c>
      <c r="D89" s="328" t="s">
        <v>1108</v>
      </c>
      <c r="E89" s="352" t="s">
        <v>2599</v>
      </c>
      <c r="F89" s="369">
        <f t="shared" si="1"/>
        <v>2</v>
      </c>
      <c r="G89" s="330">
        <v>2</v>
      </c>
      <c r="H89" s="330"/>
      <c r="I89" s="370"/>
    </row>
    <row r="90" spans="1:9" ht="20.25" customHeight="1">
      <c r="A90" s="474"/>
      <c r="B90" s="477"/>
      <c r="C90" s="327">
        <v>3</v>
      </c>
      <c r="D90" s="328" t="s">
        <v>1109</v>
      </c>
      <c r="E90" s="352" t="s">
        <v>2602</v>
      </c>
      <c r="F90" s="369">
        <f t="shared" si="1"/>
        <v>2</v>
      </c>
      <c r="G90" s="330">
        <v>2</v>
      </c>
      <c r="H90" s="330"/>
      <c r="I90" s="370"/>
    </row>
    <row r="91" spans="1:9" ht="20.25" customHeight="1">
      <c r="A91" s="474"/>
      <c r="B91" s="477"/>
      <c r="C91" s="327">
        <v>4</v>
      </c>
      <c r="D91" s="328" t="s">
        <v>1110</v>
      </c>
      <c r="E91" s="352" t="s">
        <v>2603</v>
      </c>
      <c r="F91" s="369">
        <f t="shared" si="1"/>
        <v>4</v>
      </c>
      <c r="G91" s="330">
        <v>3</v>
      </c>
      <c r="H91" s="330">
        <v>1</v>
      </c>
      <c r="I91" s="370"/>
    </row>
    <row r="92" spans="1:9" ht="20.25" customHeight="1">
      <c r="A92" s="474"/>
      <c r="B92" s="477"/>
      <c r="C92" s="327">
        <v>5</v>
      </c>
      <c r="D92" s="328" t="s">
        <v>1111</v>
      </c>
      <c r="E92" s="352" t="s">
        <v>2604</v>
      </c>
      <c r="F92" s="369">
        <f t="shared" si="1"/>
        <v>2</v>
      </c>
      <c r="G92" s="330">
        <v>1</v>
      </c>
      <c r="H92" s="330">
        <v>1</v>
      </c>
      <c r="I92" s="370"/>
    </row>
    <row r="93" spans="1:9" ht="20.25" customHeight="1">
      <c r="A93" s="474"/>
      <c r="B93" s="477"/>
      <c r="C93" s="327">
        <v>6</v>
      </c>
      <c r="D93" s="328" t="s">
        <v>1112</v>
      </c>
      <c r="E93" s="352" t="s">
        <v>2605</v>
      </c>
      <c r="F93" s="369">
        <f t="shared" si="1"/>
        <v>3</v>
      </c>
      <c r="G93" s="330">
        <v>2</v>
      </c>
      <c r="H93" s="330">
        <v>1</v>
      </c>
      <c r="I93" s="370"/>
    </row>
    <row r="94" spans="1:9" ht="20.25" customHeight="1">
      <c r="A94" s="474"/>
      <c r="B94" s="477"/>
      <c r="C94" s="327">
        <v>7</v>
      </c>
      <c r="D94" s="328" t="s">
        <v>1113</v>
      </c>
      <c r="E94" s="352"/>
      <c r="F94" s="369">
        <f t="shared" si="1"/>
        <v>0</v>
      </c>
      <c r="G94" s="330"/>
      <c r="H94" s="330"/>
      <c r="I94" s="370"/>
    </row>
    <row r="95" spans="1:9" ht="20.25" customHeight="1">
      <c r="A95" s="474"/>
      <c r="B95" s="477"/>
      <c r="C95" s="327">
        <v>8</v>
      </c>
      <c r="D95" s="331" t="s">
        <v>2324</v>
      </c>
      <c r="E95" s="355"/>
      <c r="F95" s="369">
        <f t="shared" si="1"/>
        <v>0</v>
      </c>
      <c r="G95" s="376"/>
      <c r="H95" s="376"/>
      <c r="I95" s="370"/>
    </row>
    <row r="96" spans="1:9" ht="20.25" customHeight="1">
      <c r="A96" s="474"/>
      <c r="B96" s="477"/>
      <c r="C96" s="327">
        <v>9</v>
      </c>
      <c r="D96" s="332" t="s">
        <v>2554</v>
      </c>
      <c r="E96" s="355"/>
      <c r="F96" s="369">
        <f t="shared" si="1"/>
        <v>0</v>
      </c>
      <c r="G96" s="376"/>
      <c r="H96" s="376"/>
      <c r="I96" s="370"/>
    </row>
    <row r="97" spans="1:10" ht="20.25" customHeight="1">
      <c r="A97" s="474"/>
      <c r="B97" s="477"/>
      <c r="C97" s="327">
        <v>10</v>
      </c>
      <c r="D97" s="328" t="s">
        <v>169</v>
      </c>
      <c r="E97" s="358"/>
      <c r="F97" s="369">
        <f t="shared" si="1"/>
        <v>0</v>
      </c>
      <c r="G97" s="377"/>
      <c r="H97" s="377"/>
      <c r="I97" s="370"/>
    </row>
    <row r="98" spans="1:10" ht="20.25" customHeight="1">
      <c r="A98" s="474"/>
      <c r="B98" s="477"/>
      <c r="C98" s="327">
        <v>11</v>
      </c>
      <c r="D98" s="328" t="s">
        <v>1143</v>
      </c>
      <c r="E98" s="358"/>
      <c r="F98" s="369">
        <f t="shared" si="1"/>
        <v>0</v>
      </c>
      <c r="G98" s="377"/>
      <c r="H98" s="377"/>
      <c r="I98" s="370"/>
      <c r="J98" s="322"/>
    </row>
    <row r="99" spans="1:10" ht="20.25" customHeight="1">
      <c r="A99" s="482"/>
      <c r="B99" s="480"/>
      <c r="C99" s="333">
        <v>12</v>
      </c>
      <c r="D99" s="334" t="s">
        <v>954</v>
      </c>
      <c r="E99" s="363"/>
      <c r="F99" s="382">
        <f t="shared" si="1"/>
        <v>0</v>
      </c>
      <c r="G99" s="383"/>
      <c r="H99" s="383"/>
      <c r="I99" s="384"/>
    </row>
    <row r="100" spans="1:10" s="322" customFormat="1">
      <c r="A100" s="319"/>
      <c r="B100" s="320"/>
      <c r="C100" s="324"/>
      <c r="D100" s="324"/>
      <c r="E100" s="364"/>
      <c r="F100" s="388"/>
      <c r="G100" s="321"/>
      <c r="H100" s="321"/>
      <c r="I100" s="385"/>
      <c r="J100" s="315"/>
    </row>
  </sheetData>
  <sheetProtection sheet="1" formatCells="0" formatColumns="0" formatRows="0" insertRows="0"/>
  <mergeCells count="17">
    <mergeCell ref="A1:I1"/>
    <mergeCell ref="A40:A51"/>
    <mergeCell ref="B40:B51"/>
    <mergeCell ref="A28:A39"/>
    <mergeCell ref="B28:B39"/>
    <mergeCell ref="B4:B15"/>
    <mergeCell ref="A4:A15"/>
    <mergeCell ref="B16:B27"/>
    <mergeCell ref="A16:A27"/>
    <mergeCell ref="A76:A87"/>
    <mergeCell ref="B76:B87"/>
    <mergeCell ref="B88:B99"/>
    <mergeCell ref="A88:A99"/>
    <mergeCell ref="B52:B63"/>
    <mergeCell ref="A52:A63"/>
    <mergeCell ref="A64:A75"/>
    <mergeCell ref="B64:B75"/>
  </mergeCells>
  <phoneticPr fontId="9" type="noConversion"/>
  <printOptions horizontalCentered="1"/>
  <pageMargins left="0.25" right="0.25" top="0.25" bottom="0.25" header="0.5" footer="0.5"/>
  <pageSetup paperSize="9" scale="8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N44"/>
  <sheetViews>
    <sheetView zoomScale="55" zoomScaleNormal="55" workbookViewId="0">
      <selection activeCell="F56" sqref="F56"/>
    </sheetView>
  </sheetViews>
  <sheetFormatPr defaultRowHeight="15.75"/>
  <cols>
    <col min="1" max="1" width="5.7109375" style="104" bestFit="1" customWidth="1"/>
    <col min="2" max="2" width="18.5703125" style="104" customWidth="1"/>
    <col min="3" max="4" width="16.28515625" style="106" customWidth="1"/>
    <col min="5" max="6" width="14.7109375" style="106" customWidth="1"/>
    <col min="7" max="7" width="16.28515625" style="106" customWidth="1"/>
    <col min="8" max="9" width="14" style="106" customWidth="1"/>
    <col min="10" max="10" width="16.28515625" style="106" customWidth="1"/>
    <col min="11" max="11" width="12.42578125" style="106" customWidth="1"/>
    <col min="12" max="14" width="16.28515625" style="106" customWidth="1"/>
    <col min="15" max="16384" width="9.140625" style="106"/>
  </cols>
  <sheetData>
    <row r="1" spans="1:14" s="105" customFormat="1" ht="25.5" customHeight="1">
      <c r="A1" s="99" t="s">
        <v>272</v>
      </c>
      <c r="B1" s="9" t="s">
        <v>276</v>
      </c>
      <c r="C1" s="9" t="s">
        <v>1107</v>
      </c>
      <c r="D1" s="9" t="s">
        <v>1108</v>
      </c>
      <c r="E1" s="9" t="s">
        <v>1109</v>
      </c>
      <c r="F1" s="9" t="s">
        <v>1110</v>
      </c>
      <c r="G1" s="9" t="s">
        <v>1111</v>
      </c>
      <c r="H1" s="9" t="s">
        <v>1112</v>
      </c>
      <c r="I1" s="9" t="s">
        <v>1113</v>
      </c>
      <c r="J1" s="101" t="s">
        <v>2324</v>
      </c>
      <c r="K1" s="389" t="s">
        <v>2554</v>
      </c>
      <c r="L1" s="99" t="s">
        <v>169</v>
      </c>
      <c r="M1" s="99" t="s">
        <v>1143</v>
      </c>
      <c r="N1" s="99" t="s">
        <v>954</v>
      </c>
    </row>
    <row r="2" spans="1:14" ht="47.25">
      <c r="A2" s="484">
        <v>1</v>
      </c>
      <c r="B2" s="9" t="s">
        <v>1267</v>
      </c>
      <c r="C2" s="102" t="str">
        <f>VLOOKUP(C$1,'TEN HOC PHAN HKI'!$D$4:$F$15,2,0)</f>
        <v>Đường lối CM của Đảng cộng sản VN</v>
      </c>
      <c r="D2" s="102" t="str">
        <f>VLOOKUP(D$1,'TEN HOC PHAN HKI'!$D$4:$F$15,2,0)</f>
        <v>Điều khiển lập trình PLC 1</v>
      </c>
      <c r="E2" s="102" t="str">
        <f>VLOOKUP(E$1,'TEN HOC PHAN HKI'!$D$4:$F$15,2,0)</f>
        <v>Tự động hóa quá trình công nghệ</v>
      </c>
      <c r="F2" s="102" t="str">
        <f>VLOOKUP(F$1,'TEN HOC PHAN HKI'!$D$4:$F$15,2,0)</f>
        <v>Điện tử công nghiệp</v>
      </c>
      <c r="G2" s="102" t="str">
        <f>VLOOKUP(G$1,'TEN HOC PHAN HKI'!$D$4:$F$15,2,0)</f>
        <v>Hệ thống điều khiển tự động</v>
      </c>
      <c r="H2" s="102">
        <f>VLOOKUP(H$1,'TEN HOC PHAN HKI'!$D$4:$F$15,2,0)</f>
        <v>0</v>
      </c>
      <c r="I2" s="102">
        <f>VLOOKUP(I$1,'TEN HOC PHAN HKI'!$D$4:$F$15,2,0)</f>
        <v>0</v>
      </c>
      <c r="J2" s="102">
        <f>VLOOKUP(J$1,'TEN HOC PHAN HKI'!$D$4:$F$15,2,0)</f>
        <v>0</v>
      </c>
      <c r="K2" s="102">
        <f>VLOOKUP(K$1,'TEN HOC PHAN HKI'!$D$4:$F$15,2,0)</f>
        <v>0</v>
      </c>
      <c r="L2" s="102" t="str">
        <f>VLOOKUP(L$1,'TEN HOC PHAN HKI'!$D$4:$F$15,2,0)</f>
        <v>Thực tập Vi xử lý và PLC</v>
      </c>
      <c r="M2" s="102" t="str">
        <f>VLOOKUP(M$1,'TEN HOC PHAN HKI'!$D$4:$F$15,2,0)</f>
        <v>Thực tập Đo lường cảm biến</v>
      </c>
      <c r="N2" s="102" t="str">
        <f>VLOOKUP(N$1,'TEN HOC PHAN HKI'!$D$4:$F$15,2,0)</f>
        <v>Thực tập Điều khiển tự động</v>
      </c>
    </row>
    <row r="3" spans="1:14">
      <c r="A3" s="484"/>
      <c r="B3" s="9" t="s">
        <v>933</v>
      </c>
      <c r="C3" s="102">
        <f>VLOOKUP(C$1,'TEN HOC PHAN HKI'!$D$4:$F$15,3,0)</f>
        <v>3</v>
      </c>
      <c r="D3" s="102">
        <f>VLOOKUP(D$1,'TEN HOC PHAN HKI'!$D$4:$F$15,3,0)</f>
        <v>2</v>
      </c>
      <c r="E3" s="102">
        <f>VLOOKUP(E$1,'TEN HOC PHAN HKI'!$D$4:$F$15,3,0)</f>
        <v>2</v>
      </c>
      <c r="F3" s="102">
        <f>VLOOKUP(F$1,'TEN HOC PHAN HKI'!$D$4:$F$15,3,0)</f>
        <v>3</v>
      </c>
      <c r="G3" s="102">
        <f>VLOOKUP(G$1,'TEN HOC PHAN HKI'!$D$4:$F$15,3,0)</f>
        <v>2</v>
      </c>
      <c r="H3" s="102">
        <f>VLOOKUP(H$1,'TEN HOC PHAN HKI'!$D$4:$F$15,3,0)</f>
        <v>0</v>
      </c>
      <c r="I3" s="102">
        <f>VLOOKUP(I$1,'TEN HOC PHAN HKI'!$D$4:$F$15,3,0)</f>
        <v>0</v>
      </c>
      <c r="J3" s="102">
        <f>VLOOKUP(J$1,'TEN HOC PHAN HKI'!$D$4:$F$15,3,0)</f>
        <v>0</v>
      </c>
      <c r="K3" s="102">
        <f>VLOOKUP(K$1,'TEN HOC PHAN HKI'!$D$4:$F$15,3,0)</f>
        <v>0</v>
      </c>
      <c r="L3" s="102">
        <f>VLOOKUP(L$1,'TEN HOC PHAN HKI'!$D$4:$F$15,3,0)</f>
        <v>2</v>
      </c>
      <c r="M3" s="102">
        <f>VLOOKUP(M$1,'TEN HOC PHAN HKI'!$D$4:$F$15,3,0)</f>
        <v>2</v>
      </c>
      <c r="N3" s="102">
        <f>VLOOKUP(N$1,'TEN HOC PHAN HKI'!$D$4:$F$15,3,0)</f>
        <v>2</v>
      </c>
    </row>
    <row r="4" spans="1:14" ht="47.25">
      <c r="A4" s="484">
        <v>2</v>
      </c>
      <c r="B4" s="9" t="s">
        <v>1344</v>
      </c>
      <c r="C4" s="102" t="str">
        <f>VLOOKUP(C$1,'TEN HOC PHAN HKI'!$D$4:$F$15,2,0)</f>
        <v>Đường lối CM của Đảng cộng sản VN</v>
      </c>
      <c r="D4" s="102" t="str">
        <f>VLOOKUP(D$1,'TEN HOC PHAN HKI'!$D$4:$F$15,2,0)</f>
        <v>Điều khiển lập trình PLC 1</v>
      </c>
      <c r="E4" s="102" t="str">
        <f>VLOOKUP(E$1,'TEN HOC PHAN HKI'!$D$4:$F$15,2,0)</f>
        <v>Tự động hóa quá trình công nghệ</v>
      </c>
      <c r="F4" s="102" t="str">
        <f>VLOOKUP(F$1,'TEN HOC PHAN HKI'!$D$4:$F$15,2,0)</f>
        <v>Điện tử công nghiệp</v>
      </c>
      <c r="G4" s="102" t="str">
        <f>VLOOKUP(G$1,'TEN HOC PHAN HKI'!$D$4:$F$15,2,0)</f>
        <v>Hệ thống điều khiển tự động</v>
      </c>
      <c r="H4" s="102">
        <f>VLOOKUP(H$1,'TEN HOC PHAN HKI'!$D$4:$F$15,2,0)</f>
        <v>0</v>
      </c>
      <c r="I4" s="102">
        <f>VLOOKUP(I$1,'TEN HOC PHAN HKI'!$D$4:$F$15,2,0)</f>
        <v>0</v>
      </c>
      <c r="J4" s="102">
        <f>VLOOKUP(J$1,'TEN HOC PHAN HKI'!$D$4:$F$15,2,0)</f>
        <v>0</v>
      </c>
      <c r="K4" s="102">
        <f>VLOOKUP(K$1,'TEN HOC PHAN HKI'!$D$4:$F$15,2,0)</f>
        <v>0</v>
      </c>
      <c r="L4" s="102" t="str">
        <f>VLOOKUP(L$1,'TEN HOC PHAN HKI'!$D$4:$F$15,2,0)</f>
        <v>Thực tập Vi xử lý và PLC</v>
      </c>
      <c r="M4" s="102" t="str">
        <f>VLOOKUP(M$1,'TEN HOC PHAN HKI'!$D$4:$F$15,2,0)</f>
        <v>Thực tập Đo lường cảm biến</v>
      </c>
      <c r="N4" s="102" t="str">
        <f>VLOOKUP(N$1,'TEN HOC PHAN HKI'!$D$4:$F$15,2,0)</f>
        <v>Thực tập Điều khiển tự động</v>
      </c>
    </row>
    <row r="5" spans="1:14" ht="16.5" thickBot="1">
      <c r="A5" s="485"/>
      <c r="B5" s="111" t="s">
        <v>934</v>
      </c>
      <c r="C5" s="112">
        <f>VLOOKUP(C$1,'TEN HOC PHAN HKI'!$D$4:$F$15,3,0)</f>
        <v>3</v>
      </c>
      <c r="D5" s="112">
        <f>VLOOKUP(D$1,'TEN HOC PHAN HKI'!$D$4:$F$15,3,0)</f>
        <v>2</v>
      </c>
      <c r="E5" s="112">
        <f>VLOOKUP(E$1,'TEN HOC PHAN HKI'!$D$4:$F$15,3,0)</f>
        <v>2</v>
      </c>
      <c r="F5" s="112">
        <f>VLOOKUP(F$1,'TEN HOC PHAN HKI'!$D$4:$F$15,3,0)</f>
        <v>3</v>
      </c>
      <c r="G5" s="112">
        <f>VLOOKUP(G$1,'TEN HOC PHAN HKI'!$D$4:$F$15,3,0)</f>
        <v>2</v>
      </c>
      <c r="H5" s="112">
        <f>VLOOKUP(H$1,'TEN HOC PHAN HKI'!$D$4:$F$15,3,0)</f>
        <v>0</v>
      </c>
      <c r="I5" s="112">
        <f>VLOOKUP(I$1,'TEN HOC PHAN HKI'!$D$4:$F$15,3,0)</f>
        <v>0</v>
      </c>
      <c r="J5" s="112">
        <f>VLOOKUP(J$1,'TEN HOC PHAN HKI'!$D$4:$F$15,3,0)</f>
        <v>0</v>
      </c>
      <c r="K5" s="112">
        <f>VLOOKUP(K$1,'TEN HOC PHAN HKI'!$D$4:$F$15,3,0)</f>
        <v>0</v>
      </c>
      <c r="L5" s="112">
        <f>VLOOKUP(L$1,'TEN HOC PHAN HKI'!$D$4:$F$15,3,0)</f>
        <v>2</v>
      </c>
      <c r="M5" s="112">
        <f>VLOOKUP(M$1,'TEN HOC PHAN HKI'!$D$4:$F$15,3,0)</f>
        <v>2</v>
      </c>
      <c r="N5" s="112">
        <f>VLOOKUP(N$1,'TEN HOC PHAN HKI'!$D$4:$F$15,3,0)</f>
        <v>2</v>
      </c>
    </row>
    <row r="6" spans="1:14" ht="48" thickTop="1">
      <c r="A6" s="486">
        <v>1</v>
      </c>
      <c r="B6" s="108" t="s">
        <v>1553</v>
      </c>
      <c r="C6" s="103" t="str">
        <f>VLOOKUP(C$1,'TEN HOC PHAN HKI'!$D$16:$F$27,2,0)</f>
        <v>Đường lối CM của Đảng cộng sản VN</v>
      </c>
      <c r="D6" s="103" t="str">
        <f>VLOOKUP(D$1,'TEN HOC PHAN HKI'!$D$16:$F$27,2,0)</f>
        <v>Điều khiển lập trình PLC 1</v>
      </c>
      <c r="E6" s="103" t="str">
        <f>VLOOKUP(E$1,'TEN HOC PHAN HKI'!$D$16:$F$27,2,0)</f>
        <v>Truyền động điện và ứng dụng</v>
      </c>
      <c r="F6" s="103" t="str">
        <f>VLOOKUP(F$1,'TEN HOC PHAN HKI'!$D$16:$F$27,2,0)</f>
        <v>Nhà máy điện và trạm biến áp</v>
      </c>
      <c r="G6" s="103" t="str">
        <f>VLOOKUP(G$1,'TEN HOC PHAN HKI'!$D$16:$F$27,2,0)</f>
        <v>Điện công nghiệp</v>
      </c>
      <c r="H6" s="103">
        <f>VLOOKUP(H$1,'TEN HOC PHAN HKI'!$D$16:$F$27,2,0)</f>
        <v>0</v>
      </c>
      <c r="I6" s="103">
        <f>VLOOKUP(I$1,'TEN HOC PHAN HKI'!$D$16:$F$27,2,0)</f>
        <v>0</v>
      </c>
      <c r="J6" s="103">
        <f>VLOOKUP(J$1,'TEN HOC PHAN HKI'!$D$16:$F$27,2,0)</f>
        <v>0</v>
      </c>
      <c r="K6" s="103">
        <f>VLOOKUP(K$1,'TEN HOC PHAN HKI'!$D$16:$F$27,2,0)</f>
        <v>0</v>
      </c>
      <c r="L6" s="103" t="str">
        <f>VLOOKUP(L$1,'TEN HOC PHAN HKI'!$D$16:$F$27,2,0)</f>
        <v>Thực tập Máy điện</v>
      </c>
      <c r="M6" s="103" t="str">
        <f>VLOOKUP(M$1,'TEN HOC PHAN HKI'!$D$16:$F$27,2,0)</f>
        <v>Thực tập Vi xử lý và PLC</v>
      </c>
      <c r="N6" s="103" t="str">
        <f>VLOOKUP(N$1,'TEN HOC PHAN HKI'!$D$16:$F$27,2,0)</f>
        <v>Thực tập Đo lường cảm biến</v>
      </c>
    </row>
    <row r="7" spans="1:14">
      <c r="A7" s="484"/>
      <c r="B7" s="9" t="s">
        <v>935</v>
      </c>
      <c r="C7" s="102">
        <f>VLOOKUP(C$1,'TEN HOC PHAN HKI'!$D$16:$F$27,3,0)</f>
        <v>3</v>
      </c>
      <c r="D7" s="102">
        <f>VLOOKUP(D$1,'TEN HOC PHAN HKI'!$D$16:$F$27,3,0)</f>
        <v>2</v>
      </c>
      <c r="E7" s="102">
        <f>VLOOKUP(E$1,'TEN HOC PHAN HKI'!$D$16:$F$27,3,0)</f>
        <v>2</v>
      </c>
      <c r="F7" s="102">
        <f>VLOOKUP(F$1,'TEN HOC PHAN HKI'!$D$16:$F$27,3,0)</f>
        <v>2</v>
      </c>
      <c r="G7" s="102">
        <f>VLOOKUP(G$1,'TEN HOC PHAN HKI'!$D$16:$F$27,3,0)</f>
        <v>3</v>
      </c>
      <c r="H7" s="102">
        <f>VLOOKUP(H$1,'TEN HOC PHAN HKI'!$D$16:$F$27,3,0)</f>
        <v>0</v>
      </c>
      <c r="I7" s="102">
        <f>VLOOKUP(I$1,'TEN HOC PHAN HKI'!$D$16:$F$27,3,0)</f>
        <v>0</v>
      </c>
      <c r="J7" s="102">
        <f>VLOOKUP(J$1,'TEN HOC PHAN HKI'!$D$16:$F$27,3,0)</f>
        <v>0</v>
      </c>
      <c r="K7" s="102">
        <f>VLOOKUP(K$1,'TEN HOC PHAN HKI'!$D$16:$F$27,3,0)</f>
        <v>0</v>
      </c>
      <c r="L7" s="102">
        <f>VLOOKUP(L$1,'TEN HOC PHAN HKI'!$D$16:$F$27,3,0)</f>
        <v>2</v>
      </c>
      <c r="M7" s="102">
        <f>VLOOKUP(M$1,'TEN HOC PHAN HKI'!$D$16:$F$27,3,0)</f>
        <v>2</v>
      </c>
      <c r="N7" s="102">
        <f>VLOOKUP(N$1,'TEN HOC PHAN HKI'!$D$16:$F$27,3,0)</f>
        <v>2</v>
      </c>
    </row>
    <row r="8" spans="1:14" ht="47.25">
      <c r="A8" s="484">
        <v>2</v>
      </c>
      <c r="B8" s="9" t="s">
        <v>1626</v>
      </c>
      <c r="C8" s="102" t="str">
        <f>VLOOKUP(C$1,'TEN HOC PHAN HKI'!$D$16:$F$27,2,0)</f>
        <v>Đường lối CM của Đảng cộng sản VN</v>
      </c>
      <c r="D8" s="102" t="str">
        <f>VLOOKUP(D$1,'TEN HOC PHAN HKI'!$D$16:$F$27,2,0)</f>
        <v>Điều khiển lập trình PLC 1</v>
      </c>
      <c r="E8" s="102" t="str">
        <f>VLOOKUP(E$1,'TEN HOC PHAN HKI'!$D$16:$F$27,2,0)</f>
        <v>Truyền động điện và ứng dụng</v>
      </c>
      <c r="F8" s="102" t="str">
        <f>VLOOKUP(F$1,'TEN HOC PHAN HKI'!$D$16:$F$27,2,0)</f>
        <v>Nhà máy điện và trạm biến áp</v>
      </c>
      <c r="G8" s="102" t="str">
        <f>VLOOKUP(G$1,'TEN HOC PHAN HKI'!$D$16:$F$27,2,0)</f>
        <v>Điện công nghiệp</v>
      </c>
      <c r="H8" s="102">
        <f>VLOOKUP(H$1,'TEN HOC PHAN HKI'!$D$16:$F$27,2,0)</f>
        <v>0</v>
      </c>
      <c r="I8" s="102">
        <f>VLOOKUP(I$1,'TEN HOC PHAN HKI'!$D$16:$F$27,2,0)</f>
        <v>0</v>
      </c>
      <c r="J8" s="102">
        <f>VLOOKUP(J$1,'TEN HOC PHAN HKI'!$D$16:$F$27,2,0)</f>
        <v>0</v>
      </c>
      <c r="K8" s="102">
        <f>VLOOKUP(K$1,'TEN HOC PHAN HKI'!$D$16:$F$27,2,0)</f>
        <v>0</v>
      </c>
      <c r="L8" s="102" t="str">
        <f>VLOOKUP(L$1,'TEN HOC PHAN HKI'!$D$16:$F$27,2,0)</f>
        <v>Thực tập Máy điện</v>
      </c>
      <c r="M8" s="102" t="str">
        <f>VLOOKUP(M$1,'TEN HOC PHAN HKI'!$D$16:$F$27,2,0)</f>
        <v>Thực tập Vi xử lý và PLC</v>
      </c>
      <c r="N8" s="102" t="str">
        <f>VLOOKUP(N$1,'TEN HOC PHAN HKI'!$D$16:$F$27,2,0)</f>
        <v>Thực tập Đo lường cảm biến</v>
      </c>
    </row>
    <row r="9" spans="1:14">
      <c r="A9" s="484"/>
      <c r="B9" s="9" t="s">
        <v>936</v>
      </c>
      <c r="C9" s="102">
        <f>VLOOKUP(C$1,'TEN HOC PHAN HKI'!$D$16:$F$27,3,0)</f>
        <v>3</v>
      </c>
      <c r="D9" s="102">
        <f>VLOOKUP(D$1,'TEN HOC PHAN HKI'!$D$16:$F$27,3,0)</f>
        <v>2</v>
      </c>
      <c r="E9" s="102">
        <f>VLOOKUP(E$1,'TEN HOC PHAN HKI'!$D$16:$F$27,3,0)</f>
        <v>2</v>
      </c>
      <c r="F9" s="102">
        <f>VLOOKUP(F$1,'TEN HOC PHAN HKI'!$D$16:$F$27,3,0)</f>
        <v>2</v>
      </c>
      <c r="G9" s="102">
        <f>VLOOKUP(G$1,'TEN HOC PHAN HKI'!$D$16:$F$27,3,0)</f>
        <v>3</v>
      </c>
      <c r="H9" s="102">
        <f>VLOOKUP(H$1,'TEN HOC PHAN HKI'!$D$16:$F$27,3,0)</f>
        <v>0</v>
      </c>
      <c r="I9" s="102">
        <f>VLOOKUP(I$1,'TEN HOC PHAN HKI'!$D$16:$F$27,3,0)</f>
        <v>0</v>
      </c>
      <c r="J9" s="102">
        <f>VLOOKUP(J$1,'TEN HOC PHAN HKI'!$D$16:$F$27,3,0)</f>
        <v>0</v>
      </c>
      <c r="K9" s="102">
        <f>VLOOKUP(K$1,'TEN HOC PHAN HKI'!$D$16:$F$27,3,0)</f>
        <v>0</v>
      </c>
      <c r="L9" s="102">
        <f>VLOOKUP(L$1,'TEN HOC PHAN HKI'!$D$16:$F$27,3,0)</f>
        <v>2</v>
      </c>
      <c r="M9" s="102">
        <f>VLOOKUP(M$1,'TEN HOC PHAN HKI'!$D$16:$F$27,3,0)</f>
        <v>2</v>
      </c>
      <c r="N9" s="102">
        <f>VLOOKUP(N$1,'TEN HOC PHAN HKI'!$D$16:$F$27,3,0)</f>
        <v>2</v>
      </c>
    </row>
    <row r="10" spans="1:14" ht="47.25">
      <c r="A10" s="484">
        <v>3</v>
      </c>
      <c r="B10" s="9" t="s">
        <v>1708</v>
      </c>
      <c r="C10" s="102" t="str">
        <f>VLOOKUP(C$1,'TEN HOC PHAN HKI'!$D$16:$F$27,2,0)</f>
        <v>Đường lối CM của Đảng cộng sản VN</v>
      </c>
      <c r="D10" s="102" t="str">
        <f>VLOOKUP(D$1,'TEN HOC PHAN HKI'!$D$16:$F$27,2,0)</f>
        <v>Điều khiển lập trình PLC 1</v>
      </c>
      <c r="E10" s="102" t="str">
        <f>VLOOKUP(E$1,'TEN HOC PHAN HKI'!$D$16:$F$27,2,0)</f>
        <v>Truyền động điện và ứng dụng</v>
      </c>
      <c r="F10" s="102" t="str">
        <f>VLOOKUP(F$1,'TEN HOC PHAN HKI'!$D$16:$F$27,2,0)</f>
        <v>Nhà máy điện và trạm biến áp</v>
      </c>
      <c r="G10" s="102" t="str">
        <f>VLOOKUP(G$1,'TEN HOC PHAN HKI'!$D$16:$F$27,2,0)</f>
        <v>Điện công nghiệp</v>
      </c>
      <c r="H10" s="102">
        <f>VLOOKUP(H$1,'TEN HOC PHAN HKI'!$D$16:$F$27,2,0)</f>
        <v>0</v>
      </c>
      <c r="I10" s="102">
        <f>VLOOKUP(I$1,'TEN HOC PHAN HKI'!$D$16:$F$27,2,0)</f>
        <v>0</v>
      </c>
      <c r="J10" s="102">
        <f>VLOOKUP(J$1,'TEN HOC PHAN HKI'!$D$16:$F$27,2,0)</f>
        <v>0</v>
      </c>
      <c r="K10" s="102">
        <f>VLOOKUP(K$1,'TEN HOC PHAN HKI'!$D$16:$F$27,2,0)</f>
        <v>0</v>
      </c>
      <c r="L10" s="102" t="str">
        <f>VLOOKUP(L$1,'TEN HOC PHAN HKI'!$D$16:$F$27,2,0)</f>
        <v>Thực tập Máy điện</v>
      </c>
      <c r="M10" s="102" t="str">
        <f>VLOOKUP(M$1,'TEN HOC PHAN HKI'!$D$16:$F$27,2,0)</f>
        <v>Thực tập Vi xử lý và PLC</v>
      </c>
      <c r="N10" s="102" t="str">
        <f>VLOOKUP(N$1,'TEN HOC PHAN HKI'!$D$16:$F$27,2,0)</f>
        <v>Thực tập Đo lường cảm biến</v>
      </c>
    </row>
    <row r="11" spans="1:14" ht="16.5" thickBot="1">
      <c r="A11" s="485"/>
      <c r="B11" s="111" t="s">
        <v>937</v>
      </c>
      <c r="C11" s="112">
        <f>VLOOKUP(C$1,'TEN HOC PHAN HKI'!$D$16:$F$27,3,0)</f>
        <v>3</v>
      </c>
      <c r="D11" s="112">
        <f>VLOOKUP(D$1,'TEN HOC PHAN HKI'!$D$16:$F$27,3,0)</f>
        <v>2</v>
      </c>
      <c r="E11" s="112">
        <f>VLOOKUP(E$1,'TEN HOC PHAN HKI'!$D$16:$F$27,3,0)</f>
        <v>2</v>
      </c>
      <c r="F11" s="112">
        <f>VLOOKUP(F$1,'TEN HOC PHAN HKI'!$D$16:$F$27,3,0)</f>
        <v>2</v>
      </c>
      <c r="G11" s="112">
        <f>VLOOKUP(G$1,'TEN HOC PHAN HKI'!$D$16:$F$27,3,0)</f>
        <v>3</v>
      </c>
      <c r="H11" s="112">
        <f>VLOOKUP(H$1,'TEN HOC PHAN HKI'!$D$16:$F$27,3,0)</f>
        <v>0</v>
      </c>
      <c r="I11" s="112">
        <f>VLOOKUP(I$1,'TEN HOC PHAN HKI'!$D$16:$F$27,3,0)</f>
        <v>0</v>
      </c>
      <c r="J11" s="112">
        <f>VLOOKUP(J$1,'TEN HOC PHAN HKI'!$D$16:$F$27,3,0)</f>
        <v>0</v>
      </c>
      <c r="K11" s="112">
        <f>VLOOKUP(K$1,'TEN HOC PHAN HKI'!$D$16:$F$27,3,0)</f>
        <v>0</v>
      </c>
      <c r="L11" s="112">
        <f>VLOOKUP(L$1,'TEN HOC PHAN HKI'!$D$16:$F$27,3,0)</f>
        <v>2</v>
      </c>
      <c r="M11" s="112">
        <f>VLOOKUP(M$1,'TEN HOC PHAN HKI'!$D$16:$F$27,3,0)</f>
        <v>2</v>
      </c>
      <c r="N11" s="112">
        <f>VLOOKUP(N$1,'TEN HOC PHAN HKI'!$D$16:$F$27,3,0)</f>
        <v>2</v>
      </c>
    </row>
    <row r="12" spans="1:14" ht="48" thickTop="1">
      <c r="A12" s="486">
        <v>1</v>
      </c>
      <c r="B12" s="110" t="s">
        <v>1052</v>
      </c>
      <c r="C12" s="103" t="str">
        <f>VLOOKUP(C$1,'TEN HOC PHAN HKI'!$D$28:$F$39,2,0)</f>
        <v>Kinh tế công nghiệp và quản trị chất lượng</v>
      </c>
      <c r="D12" s="103" t="str">
        <f>VLOOKUP(D$1,'TEN HOC PHAN HKI'!$D$28:$F$39,2,0)</f>
        <v>Truyền động thủy lực và khí nén trong CN</v>
      </c>
      <c r="E12" s="103" t="str">
        <f>VLOOKUP(E$1,'TEN HOC PHAN HKI'!$D$28:$F$39,2,0)</f>
        <v>Công nghệ CNC</v>
      </c>
      <c r="F12" s="103" t="str">
        <f>VLOOKUP(F$1,'TEN HOC PHAN HKI'!$D$28:$F$39,2,0)</f>
        <v>Công nghệ CAD/CAM</v>
      </c>
      <c r="G12" s="103" t="str">
        <f>VLOOKUP(G$1,'TEN HOC PHAN HKI'!$D$28:$F$39,2,0)</f>
        <v>Nguyên lý cắt kim loại</v>
      </c>
      <c r="H12" s="103" t="str">
        <f>VLOOKUP(H$1,'TEN HOC PHAN HKI'!$D$28:$F$39,2,0)</f>
        <v>Đồ gá</v>
      </c>
      <c r="I12" s="103">
        <f>VLOOKUP(I$1,'TEN HOC PHAN HKI'!$D$28:$F$39,2,0)</f>
        <v>0</v>
      </c>
      <c r="J12" s="103" t="str">
        <f>VLOOKUP(J$1,'TEN HOC PHAN HKI'!$D$28:$F$39,2,0)</f>
        <v>Đồ án tính toán thiết kế hệ dẫn động cơ khí</v>
      </c>
      <c r="K12" s="103" t="str">
        <f>VLOOKUP(K$1,'TEN HOC PHAN HKI'!$D$28:$F$39,2,0)</f>
        <v>Đồ án công nghệ chế tạo máy</v>
      </c>
      <c r="L12" s="103" t="str">
        <f>VLOOKUP(L$1,'TEN HOC PHAN HKI'!$D$28:$F$39,2,0)</f>
        <v>Thực tập Phay 1</v>
      </c>
      <c r="M12" s="103">
        <f>VLOOKUP(M$1,'TEN HOC PHAN HKI'!$D$28:$F$39,2,0)</f>
        <v>0</v>
      </c>
      <c r="N12" s="103">
        <f>VLOOKUP(N$1,'TEN HOC PHAN HKI'!$D$28:$F$39,2,0)</f>
        <v>0</v>
      </c>
    </row>
    <row r="13" spans="1:14">
      <c r="A13" s="484"/>
      <c r="B13" s="9" t="s">
        <v>938</v>
      </c>
      <c r="C13" s="102">
        <f>VLOOKUP(C$1,'TEN HOC PHAN HKI'!$D$28:$F$39,3,0)</f>
        <v>2</v>
      </c>
      <c r="D13" s="102">
        <f>VLOOKUP(D$1,'TEN HOC PHAN HKI'!$D$28:$F$39,3,0)</f>
        <v>2</v>
      </c>
      <c r="E13" s="102">
        <f>VLOOKUP(E$1,'TEN HOC PHAN HKI'!$D$28:$F$39,3,0)</f>
        <v>3</v>
      </c>
      <c r="F13" s="102">
        <f>VLOOKUP(F$1,'TEN HOC PHAN HKI'!$D$28:$F$39,3,0)</f>
        <v>3</v>
      </c>
      <c r="G13" s="102">
        <f>VLOOKUP(G$1,'TEN HOC PHAN HKI'!$D$28:$F$39,3,0)</f>
        <v>2</v>
      </c>
      <c r="H13" s="102">
        <f>VLOOKUP(H$1,'TEN HOC PHAN HKI'!$D$28:$F$39,3,0)</f>
        <v>2</v>
      </c>
      <c r="I13" s="102">
        <f>VLOOKUP(I$1,'TEN HOC PHAN HKI'!$D$28:$F$39,3,0)</f>
        <v>0</v>
      </c>
      <c r="J13" s="102">
        <f>VLOOKUP(J$1,'TEN HOC PHAN HKI'!$D$28:$F$39,3,0)</f>
        <v>1</v>
      </c>
      <c r="K13" s="102">
        <f>VLOOKUP(K$1,'TEN HOC PHAN HKI'!$D$28:$F$39,3,0)</f>
        <v>1</v>
      </c>
      <c r="L13" s="102">
        <f>VLOOKUP(L$1,'TEN HOC PHAN HKI'!$D$28:$F$39,3,0)</f>
        <v>2</v>
      </c>
      <c r="M13" s="102">
        <f>VLOOKUP(M$1,'TEN HOC PHAN HKI'!$D$28:$F$39,3,0)</f>
        <v>0</v>
      </c>
      <c r="N13" s="102">
        <f>VLOOKUP(N$1,'TEN HOC PHAN HKI'!$D$28:$F$39,3,0)</f>
        <v>0</v>
      </c>
    </row>
    <row r="14" spans="1:14" ht="47.25">
      <c r="A14" s="484">
        <v>2</v>
      </c>
      <c r="B14" s="109" t="s">
        <v>2027</v>
      </c>
      <c r="C14" s="102" t="str">
        <f>VLOOKUP(C$1,'TEN HOC PHAN HKI'!$D$28:$F$39,2,0)</f>
        <v>Kinh tế công nghiệp và quản trị chất lượng</v>
      </c>
      <c r="D14" s="102" t="str">
        <f>VLOOKUP(D$1,'TEN HOC PHAN HKI'!$D$28:$F$39,2,0)</f>
        <v>Truyền động thủy lực và khí nén trong CN</v>
      </c>
      <c r="E14" s="102" t="str">
        <f>VLOOKUP(E$1,'TEN HOC PHAN HKI'!$D$28:$F$39,2,0)</f>
        <v>Công nghệ CNC</v>
      </c>
      <c r="F14" s="102" t="str">
        <f>VLOOKUP(F$1,'TEN HOC PHAN HKI'!$D$28:$F$39,2,0)</f>
        <v>Công nghệ CAD/CAM</v>
      </c>
      <c r="G14" s="102" t="str">
        <f>VLOOKUP(G$1,'TEN HOC PHAN HKI'!$D$28:$F$39,2,0)</f>
        <v>Nguyên lý cắt kim loại</v>
      </c>
      <c r="H14" s="102" t="str">
        <f>VLOOKUP(H$1,'TEN HOC PHAN HKI'!$D$28:$F$39,2,0)</f>
        <v>Đồ gá</v>
      </c>
      <c r="I14" s="102">
        <f>VLOOKUP(I$1,'TEN HOC PHAN HKI'!$D$28:$F$39,2,0)</f>
        <v>0</v>
      </c>
      <c r="J14" s="102" t="str">
        <f>VLOOKUP(J$1,'TEN HOC PHAN HKI'!$D$28:$F$39,2,0)</f>
        <v>Đồ án tính toán thiết kế hệ dẫn động cơ khí</v>
      </c>
      <c r="K14" s="102" t="str">
        <f>VLOOKUP(K$1,'TEN HOC PHAN HKI'!$D$28:$F$39,2,0)</f>
        <v>Đồ án công nghệ chế tạo máy</v>
      </c>
      <c r="L14" s="102" t="str">
        <f>VLOOKUP(L$1,'TEN HOC PHAN HKI'!$D$28:$F$39,2,0)</f>
        <v>Thực tập Phay 1</v>
      </c>
      <c r="M14" s="102">
        <f>VLOOKUP(M$1,'TEN HOC PHAN HKI'!$D$28:$F$39,2,0)</f>
        <v>0</v>
      </c>
      <c r="N14" s="102">
        <f>VLOOKUP(N$1,'TEN HOC PHAN HKI'!$D$28:$F$39,2,0)</f>
        <v>0</v>
      </c>
    </row>
    <row r="15" spans="1:14">
      <c r="A15" s="484"/>
      <c r="B15" s="9" t="s">
        <v>939</v>
      </c>
      <c r="C15" s="102">
        <f>VLOOKUP(C$1,'TEN HOC PHAN HKI'!$D$28:$F$39,3,0)</f>
        <v>2</v>
      </c>
      <c r="D15" s="102">
        <f>VLOOKUP(D$1,'TEN HOC PHAN HKI'!$D$28:$F$39,3,0)</f>
        <v>2</v>
      </c>
      <c r="E15" s="102">
        <f>VLOOKUP(E$1,'TEN HOC PHAN HKI'!$D$28:$F$39,3,0)</f>
        <v>3</v>
      </c>
      <c r="F15" s="102">
        <f>VLOOKUP(F$1,'TEN HOC PHAN HKI'!$D$28:$F$39,3,0)</f>
        <v>3</v>
      </c>
      <c r="G15" s="102">
        <f>VLOOKUP(G$1,'TEN HOC PHAN HKI'!$D$28:$F$39,3,0)</f>
        <v>2</v>
      </c>
      <c r="H15" s="102">
        <f>VLOOKUP(H$1,'TEN HOC PHAN HKI'!$D$28:$F$39,3,0)</f>
        <v>2</v>
      </c>
      <c r="I15" s="102">
        <f>VLOOKUP(I$1,'TEN HOC PHAN HKI'!$D$28:$F$39,3,0)</f>
        <v>0</v>
      </c>
      <c r="J15" s="102">
        <f>VLOOKUP(J$1,'TEN HOC PHAN HKI'!$D$28:$F$39,3,0)</f>
        <v>1</v>
      </c>
      <c r="K15" s="102">
        <f>VLOOKUP(K$1,'TEN HOC PHAN HKI'!$D$28:$F$39,3,0)</f>
        <v>1</v>
      </c>
      <c r="L15" s="102">
        <f>VLOOKUP(L$1,'TEN HOC PHAN HKI'!$D$28:$F$39,3,0)</f>
        <v>2</v>
      </c>
      <c r="M15" s="102">
        <f>VLOOKUP(M$1,'TEN HOC PHAN HKI'!$D$28:$F$39,3,0)</f>
        <v>0</v>
      </c>
      <c r="N15" s="102">
        <f>VLOOKUP(N$1,'TEN HOC PHAN HKI'!$D$28:$F$39,3,0)</f>
        <v>0</v>
      </c>
    </row>
    <row r="16" spans="1:14" ht="47.25">
      <c r="A16" s="484">
        <v>3</v>
      </c>
      <c r="B16" s="109" t="s">
        <v>2123</v>
      </c>
      <c r="C16" s="102" t="str">
        <f>VLOOKUP(C$1,'TEN HOC PHAN HKI'!$D$28:$F$39,2,0)</f>
        <v>Kinh tế công nghiệp và quản trị chất lượng</v>
      </c>
      <c r="D16" s="102" t="str">
        <f>VLOOKUP(D$1,'TEN HOC PHAN HKI'!$D$28:$F$39,2,0)</f>
        <v>Truyền động thủy lực và khí nén trong CN</v>
      </c>
      <c r="E16" s="102" t="str">
        <f>VLOOKUP(E$1,'TEN HOC PHAN HKI'!$D$28:$F$39,2,0)</f>
        <v>Công nghệ CNC</v>
      </c>
      <c r="F16" s="102" t="str">
        <f>VLOOKUP(F$1,'TEN HOC PHAN HKI'!$D$28:$F$39,2,0)</f>
        <v>Công nghệ CAD/CAM</v>
      </c>
      <c r="G16" s="102" t="str">
        <f>VLOOKUP(G$1,'TEN HOC PHAN HKI'!$D$28:$F$39,2,0)</f>
        <v>Nguyên lý cắt kim loại</v>
      </c>
      <c r="H16" s="102" t="str">
        <f>VLOOKUP(H$1,'TEN HOC PHAN HKI'!$D$28:$F$39,2,0)</f>
        <v>Đồ gá</v>
      </c>
      <c r="I16" s="102">
        <f>VLOOKUP(I$1,'TEN HOC PHAN HKI'!$D$28:$F$39,2,0)</f>
        <v>0</v>
      </c>
      <c r="J16" s="102" t="str">
        <f>VLOOKUP(J$1,'TEN HOC PHAN HKI'!$D$28:$F$39,2,0)</f>
        <v>Đồ án tính toán thiết kế hệ dẫn động cơ khí</v>
      </c>
      <c r="K16" s="102" t="str">
        <f>VLOOKUP(K$1,'TEN HOC PHAN HKI'!$D$28:$F$39,2,0)</f>
        <v>Đồ án công nghệ chế tạo máy</v>
      </c>
      <c r="L16" s="102" t="str">
        <f>VLOOKUP(L$1,'TEN HOC PHAN HKI'!$D$28:$F$39,2,0)</f>
        <v>Thực tập Phay 1</v>
      </c>
      <c r="M16" s="102">
        <f>VLOOKUP(M$1,'TEN HOC PHAN HKI'!$D$28:$F$39,2,0)</f>
        <v>0</v>
      </c>
      <c r="N16" s="102">
        <f>VLOOKUP(N$1,'TEN HOC PHAN HKI'!$D$28:$F$39,2,0)</f>
        <v>0</v>
      </c>
    </row>
    <row r="17" spans="1:14">
      <c r="A17" s="484"/>
      <c r="B17" s="9" t="s">
        <v>940</v>
      </c>
      <c r="C17" s="102">
        <f>VLOOKUP(C$1,'TEN HOC PHAN HKI'!$D$28:$F$39,3,0)</f>
        <v>2</v>
      </c>
      <c r="D17" s="102">
        <f>VLOOKUP(D$1,'TEN HOC PHAN HKI'!$D$28:$F$39,3,0)</f>
        <v>2</v>
      </c>
      <c r="E17" s="102">
        <f>VLOOKUP(E$1,'TEN HOC PHAN HKI'!$D$28:$F$39,3,0)</f>
        <v>3</v>
      </c>
      <c r="F17" s="102">
        <f>VLOOKUP(F$1,'TEN HOC PHAN HKI'!$D$28:$F$39,3,0)</f>
        <v>3</v>
      </c>
      <c r="G17" s="102">
        <f>VLOOKUP(G$1,'TEN HOC PHAN HKI'!$D$28:$F$39,3,0)</f>
        <v>2</v>
      </c>
      <c r="H17" s="102">
        <f>VLOOKUP(H$1,'TEN HOC PHAN HKI'!$D$28:$F$39,3,0)</f>
        <v>2</v>
      </c>
      <c r="I17" s="102">
        <f>VLOOKUP(I$1,'TEN HOC PHAN HKI'!$D$28:$F$39,3,0)</f>
        <v>0</v>
      </c>
      <c r="J17" s="102">
        <f>VLOOKUP(J$1,'TEN HOC PHAN HKI'!$D$28:$F$39,3,0)</f>
        <v>1</v>
      </c>
      <c r="K17" s="102">
        <f>VLOOKUP(K$1,'TEN HOC PHAN HKI'!$D$28:$F$39,3,0)</f>
        <v>1</v>
      </c>
      <c r="L17" s="102">
        <f>VLOOKUP(L$1,'TEN HOC PHAN HKI'!$D$28:$F$39,3,0)</f>
        <v>2</v>
      </c>
      <c r="M17" s="102">
        <f>VLOOKUP(M$1,'TEN HOC PHAN HKI'!$D$28:$F$39,3,0)</f>
        <v>0</v>
      </c>
      <c r="N17" s="102">
        <f>VLOOKUP(N$1,'TEN HOC PHAN HKI'!$D$28:$F$39,3,0)</f>
        <v>0</v>
      </c>
    </row>
    <row r="18" spans="1:14" ht="47.25">
      <c r="A18" s="484">
        <v>4</v>
      </c>
      <c r="B18" s="109" t="s">
        <v>2207</v>
      </c>
      <c r="C18" s="102" t="str">
        <f>VLOOKUP(C$1,'TEN HOC PHAN HKI'!$D$28:$F$39,2,0)</f>
        <v>Kinh tế công nghiệp và quản trị chất lượng</v>
      </c>
      <c r="D18" s="102" t="str">
        <f>VLOOKUP(D$1,'TEN HOC PHAN HKI'!$D$28:$F$39,2,0)</f>
        <v>Truyền động thủy lực và khí nén trong CN</v>
      </c>
      <c r="E18" s="102" t="str">
        <f>VLOOKUP(E$1,'TEN HOC PHAN HKI'!$D$28:$F$39,2,0)</f>
        <v>Công nghệ CNC</v>
      </c>
      <c r="F18" s="102" t="str">
        <f>VLOOKUP(F$1,'TEN HOC PHAN HKI'!$D$28:$F$39,2,0)</f>
        <v>Công nghệ CAD/CAM</v>
      </c>
      <c r="G18" s="102" t="str">
        <f>VLOOKUP(G$1,'TEN HOC PHAN HKI'!$D$28:$F$39,2,0)</f>
        <v>Nguyên lý cắt kim loại</v>
      </c>
      <c r="H18" s="102" t="str">
        <f>VLOOKUP(H$1,'TEN HOC PHAN HKI'!$D$28:$F$39,2,0)</f>
        <v>Đồ gá</v>
      </c>
      <c r="I18" s="102">
        <f>VLOOKUP(I$1,'TEN HOC PHAN HKI'!$D$28:$F$39,2,0)</f>
        <v>0</v>
      </c>
      <c r="J18" s="102" t="str">
        <f>VLOOKUP(J$1,'TEN HOC PHAN HKI'!$D$28:$F$39,2,0)</f>
        <v>Đồ án tính toán thiết kế hệ dẫn động cơ khí</v>
      </c>
      <c r="K18" s="102" t="str">
        <f>VLOOKUP(K$1,'TEN HOC PHAN HKI'!$D$28:$F$39,2,0)</f>
        <v>Đồ án công nghệ chế tạo máy</v>
      </c>
      <c r="L18" s="102" t="str">
        <f>VLOOKUP(L$1,'TEN HOC PHAN HKI'!$D$28:$F$39,2,0)</f>
        <v>Thực tập Phay 1</v>
      </c>
      <c r="M18" s="102">
        <f>VLOOKUP(M$1,'TEN HOC PHAN HKI'!$D$28:$F$39,2,0)</f>
        <v>0</v>
      </c>
      <c r="N18" s="102">
        <f>VLOOKUP(N$1,'TEN HOC PHAN HKI'!$D$28:$F$39,2,0)</f>
        <v>0</v>
      </c>
    </row>
    <row r="19" spans="1:14">
      <c r="A19" s="484"/>
      <c r="B19" s="9" t="s">
        <v>941</v>
      </c>
      <c r="C19" s="102">
        <f>VLOOKUP(C$1,'TEN HOC PHAN HKI'!$D$28:$F$39,3,0)</f>
        <v>2</v>
      </c>
      <c r="D19" s="102">
        <f>VLOOKUP(D$1,'TEN HOC PHAN HKI'!$D$28:$F$39,3,0)</f>
        <v>2</v>
      </c>
      <c r="E19" s="102">
        <f>VLOOKUP(E$1,'TEN HOC PHAN HKI'!$D$28:$F$39,3,0)</f>
        <v>3</v>
      </c>
      <c r="F19" s="102">
        <f>VLOOKUP(F$1,'TEN HOC PHAN HKI'!$D$28:$F$39,3,0)</f>
        <v>3</v>
      </c>
      <c r="G19" s="102">
        <f>VLOOKUP(G$1,'TEN HOC PHAN HKI'!$D$28:$F$39,3,0)</f>
        <v>2</v>
      </c>
      <c r="H19" s="102">
        <f>VLOOKUP(H$1,'TEN HOC PHAN HKI'!$D$28:$F$39,3,0)</f>
        <v>2</v>
      </c>
      <c r="I19" s="102">
        <f>VLOOKUP(I$1,'TEN HOC PHAN HKI'!$D$28:$F$39,3,0)</f>
        <v>0</v>
      </c>
      <c r="J19" s="102">
        <f>VLOOKUP(J$1,'TEN HOC PHAN HKI'!$D$28:$F$39,3,0)</f>
        <v>1</v>
      </c>
      <c r="K19" s="102">
        <f>VLOOKUP(K$1,'TEN HOC PHAN HKI'!$D$28:$F$39,3,0)</f>
        <v>1</v>
      </c>
      <c r="L19" s="102">
        <f>VLOOKUP(L$1,'TEN HOC PHAN HKI'!$D$28:$F$39,3,0)</f>
        <v>2</v>
      </c>
      <c r="M19" s="102">
        <f>VLOOKUP(M$1,'TEN HOC PHAN HKI'!$D$28:$F$39,3,0)</f>
        <v>0</v>
      </c>
      <c r="N19" s="102">
        <f>VLOOKUP(N$1,'TEN HOC PHAN HKI'!$D$28:$F$39,3,0)</f>
        <v>0</v>
      </c>
    </row>
    <row r="20" spans="1:14" ht="47.25">
      <c r="A20" s="484">
        <v>5</v>
      </c>
      <c r="B20" s="109" t="s">
        <v>2289</v>
      </c>
      <c r="C20" s="102" t="str">
        <f>VLOOKUP(C$1,'TEN HOC PHAN HKI'!$D$28:$F$39,2,0)</f>
        <v>Kinh tế công nghiệp và quản trị chất lượng</v>
      </c>
      <c r="D20" s="102" t="str">
        <f>VLOOKUP(D$1,'TEN HOC PHAN HKI'!$D$28:$F$39,2,0)</f>
        <v>Truyền động thủy lực và khí nén trong CN</v>
      </c>
      <c r="E20" s="102" t="str">
        <f>VLOOKUP(E$1,'TEN HOC PHAN HKI'!$D$28:$F$39,2,0)</f>
        <v>Công nghệ CNC</v>
      </c>
      <c r="F20" s="102" t="str">
        <f>VLOOKUP(F$1,'TEN HOC PHAN HKI'!$D$28:$F$39,2,0)</f>
        <v>Công nghệ CAD/CAM</v>
      </c>
      <c r="G20" s="102" t="str">
        <f>VLOOKUP(G$1,'TEN HOC PHAN HKI'!$D$28:$F$39,2,0)</f>
        <v>Nguyên lý cắt kim loại</v>
      </c>
      <c r="H20" s="102" t="str">
        <f>VLOOKUP(H$1,'TEN HOC PHAN HKI'!$D$28:$F$39,2,0)</f>
        <v>Đồ gá</v>
      </c>
      <c r="I20" s="102">
        <f>VLOOKUP(I$1,'TEN HOC PHAN HKI'!$D$28:$F$39,2,0)</f>
        <v>0</v>
      </c>
      <c r="J20" s="102" t="str">
        <f>VLOOKUP(J$1,'TEN HOC PHAN HKI'!$D$28:$F$39,2,0)</f>
        <v>Đồ án tính toán thiết kế hệ dẫn động cơ khí</v>
      </c>
      <c r="K20" s="102" t="str">
        <f>VLOOKUP(K$1,'TEN HOC PHAN HKI'!$D$28:$F$39,2,0)</f>
        <v>Đồ án công nghệ chế tạo máy</v>
      </c>
      <c r="L20" s="102" t="str">
        <f>VLOOKUP(L$1,'TEN HOC PHAN HKI'!$D$28:$F$39,2,0)</f>
        <v>Thực tập Phay 1</v>
      </c>
      <c r="M20" s="102">
        <f>VLOOKUP(M$1,'TEN HOC PHAN HKI'!$D$28:$F$39,2,0)</f>
        <v>0</v>
      </c>
      <c r="N20" s="102">
        <f>VLOOKUP(N$1,'TEN HOC PHAN HKI'!$D$28:$F$39,2,0)</f>
        <v>0</v>
      </c>
    </row>
    <row r="21" spans="1:14" ht="16.5" thickBot="1">
      <c r="A21" s="485"/>
      <c r="B21" s="111" t="s">
        <v>942</v>
      </c>
      <c r="C21" s="112">
        <f>VLOOKUP(C$1,'TEN HOC PHAN HKI'!$D$28:$F$39,3,0)</f>
        <v>2</v>
      </c>
      <c r="D21" s="112">
        <f>VLOOKUP(D$1,'TEN HOC PHAN HKI'!$D$28:$F$39,3,0)</f>
        <v>2</v>
      </c>
      <c r="E21" s="112">
        <f>VLOOKUP(E$1,'TEN HOC PHAN HKI'!$D$28:$F$39,3,0)</f>
        <v>3</v>
      </c>
      <c r="F21" s="112">
        <f>VLOOKUP(F$1,'TEN HOC PHAN HKI'!$D$28:$F$39,3,0)</f>
        <v>3</v>
      </c>
      <c r="G21" s="112">
        <f>VLOOKUP(G$1,'TEN HOC PHAN HKI'!$D$28:$F$39,3,0)</f>
        <v>2</v>
      </c>
      <c r="H21" s="112">
        <f>VLOOKUP(H$1,'TEN HOC PHAN HKI'!$D$28:$F$39,3,0)</f>
        <v>2</v>
      </c>
      <c r="I21" s="112">
        <f>VLOOKUP(I$1,'TEN HOC PHAN HKI'!$D$28:$F$39,3,0)</f>
        <v>0</v>
      </c>
      <c r="J21" s="112">
        <f>VLOOKUP(J$1,'TEN HOC PHAN HKI'!$D$28:$F$39,3,0)</f>
        <v>1</v>
      </c>
      <c r="K21" s="112">
        <f>VLOOKUP(K$1,'TEN HOC PHAN HKI'!$D$28:$F$39,3,0)</f>
        <v>1</v>
      </c>
      <c r="L21" s="112">
        <f>VLOOKUP(L$1,'TEN HOC PHAN HKI'!$D$28:$F$39,3,0)</f>
        <v>2</v>
      </c>
      <c r="M21" s="112">
        <f>VLOOKUP(M$1,'TEN HOC PHAN HKI'!$D$28:$F$39,3,0)</f>
        <v>0</v>
      </c>
      <c r="N21" s="112">
        <f>VLOOKUP(N$1,'TEN HOC PHAN HKI'!$D$28:$F$39,3,0)</f>
        <v>0</v>
      </c>
    </row>
    <row r="22" spans="1:14" ht="48" thickTop="1">
      <c r="A22" s="486">
        <v>1</v>
      </c>
      <c r="B22" s="110" t="s">
        <v>2379</v>
      </c>
      <c r="C22" s="103" t="str">
        <f>VLOOKUP(C$1,'TEN HOC PHAN HKI'!$D$40:$F$51,2,0)</f>
        <v>Ôtô</v>
      </c>
      <c r="D22" s="103" t="str">
        <f>VLOOKUP(D$1,'TEN HOC PHAN HKI'!$D$40:$F$51,2,0)</f>
        <v>Công nghệ bảo dưỡng và sửa chữa ôtô</v>
      </c>
      <c r="E22" s="103">
        <f>VLOOKUP(E$1,'TEN HOC PHAN HKI'!$D$40:$F$51,2,0)</f>
        <v>0</v>
      </c>
      <c r="F22" s="103">
        <f>VLOOKUP(F$1,'TEN HOC PHAN HKI'!$D$40:$F$51,2,0)</f>
        <v>0</v>
      </c>
      <c r="G22" s="103">
        <f>VLOOKUP(G$1,'TEN HOC PHAN HKI'!$D$40:$F$51,2,0)</f>
        <v>0</v>
      </c>
      <c r="H22" s="103">
        <f>VLOOKUP(H$1,'TEN HOC PHAN HKI'!$D$40:$F$51,2,0)</f>
        <v>0</v>
      </c>
      <c r="I22" s="103">
        <f>VLOOKUP(I$1,'TEN HOC PHAN HKI'!$D$40:$F$51,2,0)</f>
        <v>0</v>
      </c>
      <c r="J22" s="103" t="str">
        <f>VLOOKUP(J$1,'TEN HOC PHAN HKI'!$D$40:$F$51,2,0)</f>
        <v>Đồ án môn học chi tiết máy</v>
      </c>
      <c r="K22" s="103">
        <f>VLOOKUP(K$1,'TEN HOC PHAN HKI'!$D$40:$F$51,2,0)</f>
        <v>0</v>
      </c>
      <c r="L22" s="103" t="str">
        <f>VLOOKUP(L$1,'TEN HOC PHAN HKI'!$D$40:$F$51,2,0)</f>
        <v>Thực tập Động cơ 2</v>
      </c>
      <c r="M22" s="103" t="str">
        <f>VLOOKUP(M$1,'TEN HOC PHAN HKI'!$D$40:$F$51,2,0)</f>
        <v>Thực tập Diesel</v>
      </c>
      <c r="N22" s="103" t="str">
        <f>VLOOKUP(N$1,'TEN HOC PHAN HKI'!$D$40:$F$51,2,0)</f>
        <v>Thực tập Điện Ôtô 1</v>
      </c>
    </row>
    <row r="23" spans="1:14">
      <c r="A23" s="484"/>
      <c r="B23" s="9" t="s">
        <v>943</v>
      </c>
      <c r="C23" s="102">
        <f>VLOOKUP(C$1,'TEN HOC PHAN HKI'!$D$40:$F$51,3,0)</f>
        <v>4</v>
      </c>
      <c r="D23" s="102">
        <f>VLOOKUP(D$1,'TEN HOC PHAN HKI'!$D$40:$F$51,3,0)</f>
        <v>2</v>
      </c>
      <c r="E23" s="102">
        <f>VLOOKUP(E$1,'TEN HOC PHAN HKI'!$D$40:$F$51,3,0)</f>
        <v>0</v>
      </c>
      <c r="F23" s="102">
        <f>VLOOKUP(F$1,'TEN HOC PHAN HKI'!$D$40:$F$51,3,0)</f>
        <v>0</v>
      </c>
      <c r="G23" s="102">
        <f>VLOOKUP(G$1,'TEN HOC PHAN HKI'!$D$40:$F$51,3,0)</f>
        <v>0</v>
      </c>
      <c r="H23" s="102">
        <f>VLOOKUP(H$1,'TEN HOC PHAN HKI'!$D$40:$F$51,3,0)</f>
        <v>0</v>
      </c>
      <c r="I23" s="102">
        <f>VLOOKUP(I$1,'TEN HOC PHAN HKI'!$D$40:$F$51,3,0)</f>
        <v>0</v>
      </c>
      <c r="J23" s="102">
        <f>VLOOKUP(J$1,'TEN HOC PHAN HKI'!$D$40:$F$51,3,0)</f>
        <v>1</v>
      </c>
      <c r="K23" s="102">
        <f>VLOOKUP(K$1,'TEN HOC PHAN HKI'!$D$40:$F$51,3,0)</f>
        <v>0</v>
      </c>
      <c r="L23" s="102">
        <f>VLOOKUP(L$1,'TEN HOC PHAN HKI'!$D$40:$F$51,3,0)</f>
        <v>2</v>
      </c>
      <c r="M23" s="102">
        <f>VLOOKUP(M$1,'TEN HOC PHAN HKI'!$D$40:$F$51,3,0)</f>
        <v>2</v>
      </c>
      <c r="N23" s="102">
        <f>VLOOKUP(N$1,'TEN HOC PHAN HKI'!$D$40:$F$51,3,0)</f>
        <v>2</v>
      </c>
    </row>
    <row r="24" spans="1:14" ht="47.25">
      <c r="A24" s="484">
        <v>2</v>
      </c>
      <c r="B24" s="109" t="s">
        <v>2463</v>
      </c>
      <c r="C24" s="102" t="str">
        <f>VLOOKUP(C$1,'TEN HOC PHAN HKI'!$D$40:$F$51,2,0)</f>
        <v>Ôtô</v>
      </c>
      <c r="D24" s="102" t="str">
        <f>VLOOKUP(D$1,'TEN HOC PHAN HKI'!$D$40:$F$51,2,0)</f>
        <v>Công nghệ bảo dưỡng và sửa chữa ôtô</v>
      </c>
      <c r="E24" s="102">
        <f>VLOOKUP(E$1,'TEN HOC PHAN HKI'!$D$40:$F$51,2,0)</f>
        <v>0</v>
      </c>
      <c r="F24" s="102">
        <f>VLOOKUP(F$1,'TEN HOC PHAN HKI'!$D$40:$F$51,2,0)</f>
        <v>0</v>
      </c>
      <c r="G24" s="102">
        <f>VLOOKUP(G$1,'TEN HOC PHAN HKI'!$D$40:$F$51,2,0)</f>
        <v>0</v>
      </c>
      <c r="H24" s="102">
        <f>VLOOKUP(H$1,'TEN HOC PHAN HKI'!$D$40:$F$51,2,0)</f>
        <v>0</v>
      </c>
      <c r="I24" s="102">
        <f>VLOOKUP(I$1,'TEN HOC PHAN HKI'!$D$40:$F$51,2,0)</f>
        <v>0</v>
      </c>
      <c r="J24" s="102" t="str">
        <f>VLOOKUP(J$1,'TEN HOC PHAN HKI'!$D$40:$F$51,2,0)</f>
        <v>Đồ án môn học chi tiết máy</v>
      </c>
      <c r="K24" s="102">
        <f>VLOOKUP(K$1,'TEN HOC PHAN HKI'!$D$40:$F$51,2,0)</f>
        <v>0</v>
      </c>
      <c r="L24" s="102" t="str">
        <f>VLOOKUP(L$1,'TEN HOC PHAN HKI'!$D$40:$F$51,2,0)</f>
        <v>Thực tập Động cơ 2</v>
      </c>
      <c r="M24" s="102" t="str">
        <f>VLOOKUP(M$1,'TEN HOC PHAN HKI'!$D$40:$F$51,2,0)</f>
        <v>Thực tập Diesel</v>
      </c>
      <c r="N24" s="102" t="str">
        <f>VLOOKUP(N$1,'TEN HOC PHAN HKI'!$D$40:$F$51,2,0)</f>
        <v>Thực tập Điện Ôtô 1</v>
      </c>
    </row>
    <row r="25" spans="1:14">
      <c r="A25" s="484"/>
      <c r="B25" s="9" t="s">
        <v>944</v>
      </c>
      <c r="C25" s="102">
        <f>VLOOKUP(C$1,'TEN HOC PHAN HKI'!$D$40:$F$51,3,0)</f>
        <v>4</v>
      </c>
      <c r="D25" s="102">
        <f>VLOOKUP(D$1,'TEN HOC PHAN HKI'!$D$40:$F$51,3,0)</f>
        <v>2</v>
      </c>
      <c r="E25" s="102">
        <f>VLOOKUP(E$1,'TEN HOC PHAN HKI'!$D$40:$F$51,3,0)</f>
        <v>0</v>
      </c>
      <c r="F25" s="102">
        <f>VLOOKUP(F$1,'TEN HOC PHAN HKI'!$D$40:$F$51,3,0)</f>
        <v>0</v>
      </c>
      <c r="G25" s="102">
        <f>VLOOKUP(G$1,'TEN HOC PHAN HKI'!$D$40:$F$51,3,0)</f>
        <v>0</v>
      </c>
      <c r="H25" s="102">
        <f>VLOOKUP(H$1,'TEN HOC PHAN HKI'!$D$40:$F$51,3,0)</f>
        <v>0</v>
      </c>
      <c r="I25" s="102">
        <f>VLOOKUP(I$1,'TEN HOC PHAN HKI'!$D$40:$F$51,3,0)</f>
        <v>0</v>
      </c>
      <c r="J25" s="102">
        <f>VLOOKUP(J$1,'TEN HOC PHAN HKI'!$D$40:$F$51,3,0)</f>
        <v>1</v>
      </c>
      <c r="K25" s="102">
        <f>VLOOKUP(K$1,'TEN HOC PHAN HKI'!$D$40:$F$51,3,0)</f>
        <v>0</v>
      </c>
      <c r="L25" s="102">
        <f>VLOOKUP(L$1,'TEN HOC PHAN HKI'!$D$40:$F$51,3,0)</f>
        <v>2</v>
      </c>
      <c r="M25" s="102">
        <f>VLOOKUP(M$1,'TEN HOC PHAN HKI'!$D$40:$F$51,3,0)</f>
        <v>2</v>
      </c>
      <c r="N25" s="102">
        <f>VLOOKUP(N$1,'TEN HOC PHAN HKI'!$D$40:$F$51,3,0)</f>
        <v>2</v>
      </c>
    </row>
    <row r="26" spans="1:14" ht="47.25">
      <c r="A26" s="484">
        <v>3</v>
      </c>
      <c r="B26" s="109" t="s">
        <v>0</v>
      </c>
      <c r="C26" s="102" t="str">
        <f>VLOOKUP(C$1,'TEN HOC PHAN HKI'!$D$40:$F$51,2,0)</f>
        <v>Ôtô</v>
      </c>
      <c r="D26" s="102" t="str">
        <f>VLOOKUP(D$1,'TEN HOC PHAN HKI'!$D$40:$F$51,2,0)</f>
        <v>Công nghệ bảo dưỡng và sửa chữa ôtô</v>
      </c>
      <c r="E26" s="102">
        <f>VLOOKUP(E$1,'TEN HOC PHAN HKI'!$D$40:$F$51,2,0)</f>
        <v>0</v>
      </c>
      <c r="F26" s="102">
        <f>VLOOKUP(F$1,'TEN HOC PHAN HKI'!$D$40:$F$51,2,0)</f>
        <v>0</v>
      </c>
      <c r="G26" s="102">
        <f>VLOOKUP(G$1,'TEN HOC PHAN HKI'!$D$40:$F$51,2,0)</f>
        <v>0</v>
      </c>
      <c r="H26" s="102">
        <f>VLOOKUP(H$1,'TEN HOC PHAN HKI'!$D$40:$F$51,2,0)</f>
        <v>0</v>
      </c>
      <c r="I26" s="102">
        <f>VLOOKUP(I$1,'TEN HOC PHAN HKI'!$D$40:$F$51,2,0)</f>
        <v>0</v>
      </c>
      <c r="J26" s="102" t="str">
        <f>VLOOKUP(J$1,'TEN HOC PHAN HKI'!$D$40:$F$51,2,0)</f>
        <v>Đồ án môn học chi tiết máy</v>
      </c>
      <c r="K26" s="102">
        <f>VLOOKUP(K$1,'TEN HOC PHAN HKI'!$D$40:$F$51,2,0)</f>
        <v>0</v>
      </c>
      <c r="L26" s="102" t="str">
        <f>VLOOKUP(L$1,'TEN HOC PHAN HKI'!$D$40:$F$51,2,0)</f>
        <v>Thực tập Động cơ 2</v>
      </c>
      <c r="M26" s="102" t="str">
        <f>VLOOKUP(M$1,'TEN HOC PHAN HKI'!$D$40:$F$51,2,0)</f>
        <v>Thực tập Diesel</v>
      </c>
      <c r="N26" s="102" t="str">
        <f>VLOOKUP(N$1,'TEN HOC PHAN HKI'!$D$40:$F$51,2,0)</f>
        <v>Thực tập Điện Ôtô 1</v>
      </c>
    </row>
    <row r="27" spans="1:14">
      <c r="A27" s="484"/>
      <c r="B27" s="9" t="s">
        <v>945</v>
      </c>
      <c r="C27" s="102">
        <f>VLOOKUP(C$1,'TEN HOC PHAN HKI'!$D$40:$F$51,3,0)</f>
        <v>4</v>
      </c>
      <c r="D27" s="102">
        <f>VLOOKUP(D$1,'TEN HOC PHAN HKI'!$D$40:$F$51,3,0)</f>
        <v>2</v>
      </c>
      <c r="E27" s="102">
        <f>VLOOKUP(E$1,'TEN HOC PHAN HKI'!$D$40:$F$51,3,0)</f>
        <v>0</v>
      </c>
      <c r="F27" s="102">
        <f>VLOOKUP(F$1,'TEN HOC PHAN HKI'!$D$40:$F$51,3,0)</f>
        <v>0</v>
      </c>
      <c r="G27" s="102">
        <f>VLOOKUP(G$1,'TEN HOC PHAN HKI'!$D$40:$F$51,3,0)</f>
        <v>0</v>
      </c>
      <c r="H27" s="102">
        <f>VLOOKUP(H$1,'TEN HOC PHAN HKI'!$D$40:$F$51,3,0)</f>
        <v>0</v>
      </c>
      <c r="I27" s="102">
        <f>VLOOKUP(I$1,'TEN HOC PHAN HKI'!$D$40:$F$51,3,0)</f>
        <v>0</v>
      </c>
      <c r="J27" s="102">
        <f>VLOOKUP(J$1,'TEN HOC PHAN HKI'!$D$40:$F$51,3,0)</f>
        <v>1</v>
      </c>
      <c r="K27" s="102">
        <f>VLOOKUP(K$1,'TEN HOC PHAN HKI'!$D$40:$F$51,3,0)</f>
        <v>0</v>
      </c>
      <c r="L27" s="102">
        <f>VLOOKUP(L$1,'TEN HOC PHAN HKI'!$D$40:$F$51,3,0)</f>
        <v>2</v>
      </c>
      <c r="M27" s="102">
        <f>VLOOKUP(M$1,'TEN HOC PHAN HKI'!$D$40:$F$51,3,0)</f>
        <v>2</v>
      </c>
      <c r="N27" s="102">
        <f>VLOOKUP(N$1,'TEN HOC PHAN HKI'!$D$40:$F$51,3,0)</f>
        <v>2</v>
      </c>
    </row>
    <row r="28" spans="1:14" ht="47.25">
      <c r="A28" s="484">
        <v>4</v>
      </c>
      <c r="B28" s="109" t="s">
        <v>75</v>
      </c>
      <c r="C28" s="102" t="str">
        <f>VLOOKUP(C$1,'TEN HOC PHAN HKI'!$D$40:$F$51,2,0)</f>
        <v>Ôtô</v>
      </c>
      <c r="D28" s="102" t="str">
        <f>VLOOKUP(D$1,'TEN HOC PHAN HKI'!$D$40:$F$51,2,0)</f>
        <v>Công nghệ bảo dưỡng và sửa chữa ôtô</v>
      </c>
      <c r="E28" s="102">
        <f>VLOOKUP(E$1,'TEN HOC PHAN HKI'!$D$40:$F$51,2,0)</f>
        <v>0</v>
      </c>
      <c r="F28" s="102">
        <f>VLOOKUP(F$1,'TEN HOC PHAN HKI'!$D$40:$F$51,2,0)</f>
        <v>0</v>
      </c>
      <c r="G28" s="102">
        <f>VLOOKUP(G$1,'TEN HOC PHAN HKI'!$D$40:$F$51,2,0)</f>
        <v>0</v>
      </c>
      <c r="H28" s="102">
        <f>VLOOKUP(H$1,'TEN HOC PHAN HKI'!$D$40:$F$51,2,0)</f>
        <v>0</v>
      </c>
      <c r="I28" s="102">
        <f>VLOOKUP(I$1,'TEN HOC PHAN HKI'!$D$40:$F$51,2,0)</f>
        <v>0</v>
      </c>
      <c r="J28" s="102" t="str">
        <f>VLOOKUP(J$1,'TEN HOC PHAN HKI'!$D$40:$F$51,2,0)</f>
        <v>Đồ án môn học chi tiết máy</v>
      </c>
      <c r="K28" s="102">
        <f>VLOOKUP(K$1,'TEN HOC PHAN HKI'!$D$40:$F$51,2,0)</f>
        <v>0</v>
      </c>
      <c r="L28" s="102" t="str">
        <f>VLOOKUP(L$1,'TEN HOC PHAN HKI'!$D$40:$F$51,2,0)</f>
        <v>Thực tập Động cơ 2</v>
      </c>
      <c r="M28" s="102" t="str">
        <f>VLOOKUP(M$1,'TEN HOC PHAN HKI'!$D$40:$F$51,2,0)</f>
        <v>Thực tập Diesel</v>
      </c>
      <c r="N28" s="102" t="str">
        <f>VLOOKUP(N$1,'TEN HOC PHAN HKI'!$D$40:$F$51,2,0)</f>
        <v>Thực tập Điện Ôtô 1</v>
      </c>
    </row>
    <row r="29" spans="1:14" ht="16.5" thickBot="1">
      <c r="A29" s="485"/>
      <c r="B29" s="111" t="s">
        <v>946</v>
      </c>
      <c r="C29" s="112">
        <f>VLOOKUP(C$1,'TEN HOC PHAN HKI'!$D$40:$F$51,3,0)</f>
        <v>4</v>
      </c>
      <c r="D29" s="112">
        <f>VLOOKUP(D$1,'TEN HOC PHAN HKI'!$D$40:$F$51,3,0)</f>
        <v>2</v>
      </c>
      <c r="E29" s="112">
        <f>VLOOKUP(E$1,'TEN HOC PHAN HKI'!$D$40:$F$51,3,0)</f>
        <v>0</v>
      </c>
      <c r="F29" s="112">
        <f>VLOOKUP(F$1,'TEN HOC PHAN HKI'!$D$40:$F$51,3,0)</f>
        <v>0</v>
      </c>
      <c r="G29" s="112">
        <f>VLOOKUP(G$1,'TEN HOC PHAN HKI'!$D$40:$F$51,3,0)</f>
        <v>0</v>
      </c>
      <c r="H29" s="112">
        <f>VLOOKUP(H$1,'TEN HOC PHAN HKI'!$D$40:$F$51,3,0)</f>
        <v>0</v>
      </c>
      <c r="I29" s="112">
        <f>VLOOKUP(I$1,'TEN HOC PHAN HKI'!$D$40:$F$51,3,0)</f>
        <v>0</v>
      </c>
      <c r="J29" s="112">
        <f>VLOOKUP(J$1,'TEN HOC PHAN HKI'!$D$40:$F$51,3,0)</f>
        <v>1</v>
      </c>
      <c r="K29" s="112">
        <f>VLOOKUP(K$1,'TEN HOC PHAN HKI'!$D$40:$F$51,3,0)</f>
        <v>0</v>
      </c>
      <c r="L29" s="112">
        <f>VLOOKUP(L$1,'TEN HOC PHAN HKI'!$D$40:$F$51,3,0)</f>
        <v>2</v>
      </c>
      <c r="M29" s="112">
        <f>VLOOKUP(M$1,'TEN HOC PHAN HKI'!$D$40:$F$51,3,0)</f>
        <v>2</v>
      </c>
      <c r="N29" s="112">
        <f>VLOOKUP(N$1,'TEN HOC PHAN HKI'!$D$40:$F$51,3,0)</f>
        <v>2</v>
      </c>
    </row>
    <row r="30" spans="1:14" ht="48" thickTop="1">
      <c r="A30" s="486">
        <v>1</v>
      </c>
      <c r="B30" s="110" t="s">
        <v>1880</v>
      </c>
      <c r="C30" s="103" t="str">
        <f>VLOOKUP(C$1,'TEN HOC PHAN HKI'!$D$52:$F$63,2,0)</f>
        <v>Thiết bị đo và tự động điều khiển</v>
      </c>
      <c r="D30" s="103" t="str">
        <f>VLOOKUP(D$1,'TEN HOC PHAN HKI'!$D$52:$F$63,2,0)</f>
        <v>Lò hơi công nghiệp</v>
      </c>
      <c r="E30" s="103" t="str">
        <f>VLOOKUP(E$1,'TEN HOC PHAN HKI'!$D$52:$F$63,2,0)</f>
        <v>Thiết kế lắp đặt trạm lạnh</v>
      </c>
      <c r="F30" s="103" t="str">
        <f>VLOOKUP(F$1,'TEN HOC PHAN HKI'!$D$52:$F$63,2,0)</f>
        <v>Vận hành bảo dưỡng và sửa chữa HTL</v>
      </c>
      <c r="G30" s="103" t="str">
        <f>VLOOKUP(G$1,'TEN HOC PHAN HKI'!$D$52:$F$63,2,0)</f>
        <v>Kỹ thuật thông gió và hút bụi</v>
      </c>
      <c r="H30" s="103">
        <f>VLOOKUP(H$1,'TEN HOC PHAN HKI'!$D$52:$F$63,2,0)</f>
        <v>0</v>
      </c>
      <c r="I30" s="103">
        <f>VLOOKUP(I$1,'TEN HOC PHAN HKI'!$D$52:$F$63,2,0)</f>
        <v>0</v>
      </c>
      <c r="J30" s="103">
        <f>VLOOKUP(J$1,'TEN HOC PHAN HKI'!$D$52:$F$63,2,0)</f>
        <v>0</v>
      </c>
      <c r="K30" s="103">
        <f>VLOOKUP(K$1,'TEN HOC PHAN HKI'!$D$52:$F$63,2,0)</f>
        <v>0</v>
      </c>
      <c r="L30" s="103" t="str">
        <f>VLOOKUP(L$1,'TEN HOC PHAN HKI'!$D$52:$F$63,2,0)</f>
        <v>Thực tập Sửa chữa thiết bị lạnh dân dụng</v>
      </c>
      <c r="M30" s="103" t="str">
        <f>VLOOKUP(M$1,'TEN HOC PHAN HKI'!$D$52:$F$63,2,0)</f>
        <v>Thực tập Kỹ thuật điều hòa không khí</v>
      </c>
      <c r="N30" s="103">
        <f>VLOOKUP(N$1,'TEN HOC PHAN HKI'!$D$52:$F$63,2,0)</f>
        <v>0</v>
      </c>
    </row>
    <row r="31" spans="1:14">
      <c r="A31" s="484"/>
      <c r="B31" s="9" t="s">
        <v>947</v>
      </c>
      <c r="C31" s="102">
        <f>VLOOKUP(C$1,'TEN HOC PHAN HKI'!$D$52:$F$63,3,0)</f>
        <v>2</v>
      </c>
      <c r="D31" s="102">
        <f>VLOOKUP(D$1,'TEN HOC PHAN HKI'!$D$52:$F$63,3,0)</f>
        <v>2</v>
      </c>
      <c r="E31" s="102">
        <f>VLOOKUP(E$1,'TEN HOC PHAN HKI'!$D$52:$F$63,3,0)</f>
        <v>2</v>
      </c>
      <c r="F31" s="102">
        <f>VLOOKUP(F$1,'TEN HOC PHAN HKI'!$D$52:$F$63,3,0)</f>
        <v>2</v>
      </c>
      <c r="G31" s="102">
        <f>VLOOKUP(G$1,'TEN HOC PHAN HKI'!$D$52:$F$63,3,0)</f>
        <v>2</v>
      </c>
      <c r="H31" s="102">
        <f>VLOOKUP(H$1,'TEN HOC PHAN HKI'!$D$52:$F$63,3,0)</f>
        <v>0</v>
      </c>
      <c r="I31" s="102">
        <f>VLOOKUP(I$1,'TEN HOC PHAN HKI'!$D$52:$F$63,3,0)</f>
        <v>0</v>
      </c>
      <c r="J31" s="102">
        <f>VLOOKUP(J$1,'TEN HOC PHAN HKI'!$D$52:$F$63,3,0)</f>
        <v>0</v>
      </c>
      <c r="K31" s="102">
        <f>VLOOKUP(K$1,'TEN HOC PHAN HKI'!$D$52:$F$63,3,0)</f>
        <v>0</v>
      </c>
      <c r="L31" s="102">
        <f>VLOOKUP(L$1,'TEN HOC PHAN HKI'!$D$52:$F$63,3,0)</f>
        <v>2</v>
      </c>
      <c r="M31" s="102">
        <f>VLOOKUP(M$1,'TEN HOC PHAN HKI'!$D$52:$F$63,3,0)</f>
        <v>2</v>
      </c>
      <c r="N31" s="102">
        <f>VLOOKUP(N$1,'TEN HOC PHAN HKI'!$D$52:$F$63,3,0)</f>
        <v>0</v>
      </c>
    </row>
    <row r="32" spans="1:14" ht="47.25">
      <c r="A32" s="484">
        <v>2</v>
      </c>
      <c r="B32" s="109" t="s">
        <v>1944</v>
      </c>
      <c r="C32" s="102" t="str">
        <f>VLOOKUP(C$1,'TEN HOC PHAN HKI'!$D$52:$F$63,2,0)</f>
        <v>Thiết bị đo và tự động điều khiển</v>
      </c>
      <c r="D32" s="102" t="str">
        <f>VLOOKUP(D$1,'TEN HOC PHAN HKI'!$D$52:$F$63,2,0)</f>
        <v>Lò hơi công nghiệp</v>
      </c>
      <c r="E32" s="102" t="str">
        <f>VLOOKUP(E$1,'TEN HOC PHAN HKI'!$D$52:$F$63,2,0)</f>
        <v>Thiết kế lắp đặt trạm lạnh</v>
      </c>
      <c r="F32" s="102" t="str">
        <f>VLOOKUP(F$1,'TEN HOC PHAN HKI'!$D$52:$F$63,2,0)</f>
        <v>Vận hành bảo dưỡng và sửa chữa HTL</v>
      </c>
      <c r="G32" s="102" t="str">
        <f>VLOOKUP(G$1,'TEN HOC PHAN HKI'!$D$52:$F$63,2,0)</f>
        <v>Kỹ thuật thông gió và hút bụi</v>
      </c>
      <c r="H32" s="102">
        <f>VLOOKUP(H$1,'TEN HOC PHAN HKI'!$D$52:$F$63,2,0)</f>
        <v>0</v>
      </c>
      <c r="I32" s="102">
        <f>VLOOKUP(I$1,'TEN HOC PHAN HKI'!$D$52:$F$63,2,0)</f>
        <v>0</v>
      </c>
      <c r="J32" s="102">
        <f>VLOOKUP(J$1,'TEN HOC PHAN HKI'!$D$52:$F$63,2,0)</f>
        <v>0</v>
      </c>
      <c r="K32" s="102">
        <f>VLOOKUP(K$1,'TEN HOC PHAN HKI'!$D$52:$F$63,2,0)</f>
        <v>0</v>
      </c>
      <c r="L32" s="102" t="str">
        <f>VLOOKUP(L$1,'TEN HOC PHAN HKI'!$D$52:$F$63,2,0)</f>
        <v>Thực tập Sửa chữa thiết bị lạnh dân dụng</v>
      </c>
      <c r="M32" s="102" t="str">
        <f>VLOOKUP(M$1,'TEN HOC PHAN HKI'!$D$52:$F$63,2,0)</f>
        <v>Thực tập Kỹ thuật điều hòa không khí</v>
      </c>
      <c r="N32" s="102">
        <f>VLOOKUP(N$1,'TEN HOC PHAN HKI'!$D$52:$F$63,2,0)</f>
        <v>0</v>
      </c>
    </row>
    <row r="33" spans="1:14" ht="16.5" thickBot="1">
      <c r="A33" s="485"/>
      <c r="B33" s="111" t="s">
        <v>948</v>
      </c>
      <c r="C33" s="112">
        <f>VLOOKUP(C$1,'TEN HOC PHAN HKI'!$D$52:$F$63,3,0)</f>
        <v>2</v>
      </c>
      <c r="D33" s="112">
        <f>VLOOKUP(D$1,'TEN HOC PHAN HKI'!$D$52:$F$63,3,0)</f>
        <v>2</v>
      </c>
      <c r="E33" s="112">
        <f>VLOOKUP(E$1,'TEN HOC PHAN HKI'!$D$52:$F$63,3,0)</f>
        <v>2</v>
      </c>
      <c r="F33" s="112">
        <f>VLOOKUP(F$1,'TEN HOC PHAN HKI'!$D$52:$F$63,3,0)</f>
        <v>2</v>
      </c>
      <c r="G33" s="112">
        <f>VLOOKUP(G$1,'TEN HOC PHAN HKI'!$D$52:$F$63,3,0)</f>
        <v>2</v>
      </c>
      <c r="H33" s="112">
        <f>VLOOKUP(H$1,'TEN HOC PHAN HKI'!$D$52:$F$63,3,0)</f>
        <v>0</v>
      </c>
      <c r="I33" s="112">
        <f>VLOOKUP(I$1,'TEN HOC PHAN HKI'!$D$52:$F$63,3,0)</f>
        <v>0</v>
      </c>
      <c r="J33" s="112">
        <f>VLOOKUP(J$1,'TEN HOC PHAN HKI'!$D$52:$F$63,3,0)</f>
        <v>0</v>
      </c>
      <c r="K33" s="112">
        <f>VLOOKUP(K$1,'TEN HOC PHAN HKI'!$D$52:$F$63,3,0)</f>
        <v>0</v>
      </c>
      <c r="L33" s="112">
        <f>VLOOKUP(L$1,'TEN HOC PHAN HKI'!$D$52:$F$63,3,0)</f>
        <v>2</v>
      </c>
      <c r="M33" s="112">
        <f>VLOOKUP(M$1,'TEN HOC PHAN HKI'!$D$52:$F$63,3,0)</f>
        <v>2</v>
      </c>
      <c r="N33" s="112">
        <f>VLOOKUP(N$1,'TEN HOC PHAN HKI'!$D$52:$F$63,3,0)</f>
        <v>0</v>
      </c>
    </row>
    <row r="34" spans="1:14" ht="48" thickTop="1">
      <c r="A34" s="484">
        <v>1</v>
      </c>
      <c r="B34" s="109" t="s">
        <v>513</v>
      </c>
      <c r="C34" s="102" t="str">
        <f>VLOOKUP(C$1,'TEN HOC PHAN HKI'!$D$64:$F$75,2,0)</f>
        <v>Quản lý chất lượng trang phục</v>
      </c>
      <c r="D34" s="102" t="str">
        <f>VLOOKUP(D$1,'TEN HOC PHAN HKI'!$D$64:$F$75,2,0)</f>
        <v>Tổ chức và quản lý may công nghiệp</v>
      </c>
      <c r="E34" s="102" t="str">
        <f>VLOOKUP(E$1,'TEN HOC PHAN HKI'!$D$64:$F$75,2,0)</f>
        <v>Quản lý đơn hàng</v>
      </c>
      <c r="F34" s="102" t="str">
        <f>VLOOKUP(F$1,'TEN HOC PHAN HKI'!$D$64:$F$75,2,0)</f>
        <v>Thiết kế thời trang trên máy tính</v>
      </c>
      <c r="G34" s="102">
        <f>VLOOKUP(G$1,'TEN HOC PHAN HKI'!$D$64:$F$75,2,0)</f>
        <v>0</v>
      </c>
      <c r="H34" s="102">
        <f>VLOOKUP(H$1,'TEN HOC PHAN HKI'!$D$64:$F$75,2,0)</f>
        <v>0</v>
      </c>
      <c r="I34" s="102">
        <f>VLOOKUP(I$1,'TEN HOC PHAN HKI'!$D$64:$F$75,2,0)</f>
        <v>0</v>
      </c>
      <c r="J34" s="102" t="str">
        <f>VLOOKUP(J$1,'TEN HOC PHAN HKI'!$D$64:$F$75,2,0)</f>
        <v>Đồ án Thiết kế trang phục</v>
      </c>
      <c r="K34" s="102">
        <f>VLOOKUP(K$1,'TEN HOC PHAN HKI'!$D$64:$F$75,2,0)</f>
        <v>0</v>
      </c>
      <c r="L34" s="102" t="str">
        <f>VLOOKUP(L$1,'TEN HOC PHAN HKI'!$D$64:$F$75,2,0)</f>
        <v>Thực tập May trang phục 3</v>
      </c>
      <c r="M34" s="102" t="str">
        <f>VLOOKUP(M$1,'TEN HOC PHAN HKI'!$D$64:$F$75,2,0)</f>
        <v>Thực tập Tin học ứng dụng ngành may</v>
      </c>
      <c r="N34" s="102">
        <f>VLOOKUP(N$1,'TEN HOC PHAN HKI'!$D$64:$F$75,2,0)</f>
        <v>0</v>
      </c>
    </row>
    <row r="35" spans="1:14" ht="16.5" thickBot="1">
      <c r="A35" s="485"/>
      <c r="B35" s="111" t="s">
        <v>949</v>
      </c>
      <c r="C35" s="112">
        <f>VLOOKUP(C$1,'TEN HOC PHAN HKI'!$D$64:$F$75,3,0)</f>
        <v>2</v>
      </c>
      <c r="D35" s="112">
        <f>VLOOKUP(D$1,'TEN HOC PHAN HKI'!$D$64:$F$75,3,0)</f>
        <v>2</v>
      </c>
      <c r="E35" s="112">
        <f>VLOOKUP(E$1,'TEN HOC PHAN HKI'!$D$64:$F$75,3,0)</f>
        <v>2</v>
      </c>
      <c r="F35" s="112">
        <f>VLOOKUP(F$1,'TEN HOC PHAN HKI'!$D$64:$F$75,3,0)</f>
        <v>2</v>
      </c>
      <c r="G35" s="112">
        <f>VLOOKUP(G$1,'TEN HOC PHAN HKI'!$D$64:$F$75,3,0)</f>
        <v>0</v>
      </c>
      <c r="H35" s="112">
        <f>VLOOKUP(H$1,'TEN HOC PHAN HKI'!$D$64:$F$75,3,0)</f>
        <v>0</v>
      </c>
      <c r="I35" s="112">
        <f>VLOOKUP(I$1,'TEN HOC PHAN HKI'!$D$64:$F$75,3,0)</f>
        <v>0</v>
      </c>
      <c r="J35" s="112">
        <f>VLOOKUP(J$1,'TEN HOC PHAN HKI'!$D$64:$F$75,3,0)</f>
        <v>1</v>
      </c>
      <c r="K35" s="112">
        <f>VLOOKUP(K$1,'TEN HOC PHAN HKI'!$D$64:$F$75,3,0)</f>
        <v>0</v>
      </c>
      <c r="L35" s="112">
        <f>VLOOKUP(L$1,'TEN HOC PHAN HKI'!$D$64:$F$75,3,0)</f>
        <v>2</v>
      </c>
      <c r="M35" s="112">
        <f>VLOOKUP(M$1,'TEN HOC PHAN HKI'!$D$64:$F$75,3,0)</f>
        <v>2</v>
      </c>
      <c r="N35" s="112">
        <f>VLOOKUP(N$1,'TEN HOC PHAN HKI'!$D$64:$F$75,3,0)</f>
        <v>0</v>
      </c>
    </row>
    <row r="36" spans="1:14" ht="32.25" thickTop="1">
      <c r="A36" s="486">
        <v>1</v>
      </c>
      <c r="B36" s="110" t="s">
        <v>643</v>
      </c>
      <c r="C36" s="103" t="str">
        <f>VLOOKUP(C$1,'TEN HOC PHAN HKI'!$D$76:$F$87,2,0)</f>
        <v>Kỹ năng giao tiếp</v>
      </c>
      <c r="D36" s="103" t="str">
        <f>VLOOKUP(D$1,'TEN HOC PHAN HKI'!$D$76:$F$87,2,0)</f>
        <v>Lý thuyết đồ thị</v>
      </c>
      <c r="E36" s="103" t="str">
        <f>VLOOKUP(E$1,'TEN HOC PHAN HKI'!$D$76:$F$87,2,0)</f>
        <v>Lập trình cơ sở dữ liệu</v>
      </c>
      <c r="F36" s="103" t="str">
        <f>VLOOKUP(F$1,'TEN HOC PHAN HKI'!$D$76:$F$87,2,0)</f>
        <v>Lập trình PHP</v>
      </c>
      <c r="G36" s="103">
        <f>VLOOKUP(G$1,'TEN HOC PHAN HKI'!$D$76:$F$87,2,0)</f>
        <v>0</v>
      </c>
      <c r="H36" s="103">
        <f>VLOOKUP(H$1,'TEN HOC PHAN HKI'!$D$76:$F$87,2,0)</f>
        <v>0</v>
      </c>
      <c r="I36" s="103">
        <f>VLOOKUP(I$1,'TEN HOC PHAN HKI'!$D$76:$F$87,2,0)</f>
        <v>0</v>
      </c>
      <c r="J36" s="103">
        <f>VLOOKUP(J$1,'TEN HOC PHAN HKI'!$D$76:$F$87,2,0)</f>
        <v>0</v>
      </c>
      <c r="K36" s="103">
        <f>VLOOKUP(K$1,'TEN HOC PHAN HKI'!$D$76:$F$87,2,0)</f>
        <v>0</v>
      </c>
      <c r="L36" s="103">
        <f>VLOOKUP(L$1,'TEN HOC PHAN HKI'!$D$76:$F$87,2,0)</f>
        <v>0</v>
      </c>
      <c r="M36" s="103">
        <f>VLOOKUP(M$1,'TEN HOC PHAN HKI'!$D$76:$F$87,2,0)</f>
        <v>0</v>
      </c>
      <c r="N36" s="103">
        <f>VLOOKUP(N$1,'TEN HOC PHAN HKI'!$D$76:$F$87,2,0)</f>
        <v>0</v>
      </c>
    </row>
    <row r="37" spans="1:14">
      <c r="A37" s="484"/>
      <c r="B37" s="9" t="s">
        <v>950</v>
      </c>
      <c r="C37" s="102">
        <f>VLOOKUP(C$1,'TEN HOC PHAN HKI'!$D$76:$F$87,3,0)</f>
        <v>2</v>
      </c>
      <c r="D37" s="102">
        <f>VLOOKUP(D$1,'TEN HOC PHAN HKI'!$D$76:$F$87,3,0)</f>
        <v>2</v>
      </c>
      <c r="E37" s="102">
        <f>VLOOKUP(E$1,'TEN HOC PHAN HKI'!$D$76:$F$87,3,0)</f>
        <v>4</v>
      </c>
      <c r="F37" s="102">
        <f>VLOOKUP(F$1,'TEN HOC PHAN HKI'!$D$76:$F$87,3,0)</f>
        <v>5</v>
      </c>
      <c r="G37" s="102">
        <f>VLOOKUP(G$1,'TEN HOC PHAN HKI'!$D$76:$F$87,3,0)</f>
        <v>0</v>
      </c>
      <c r="H37" s="102">
        <f>VLOOKUP(H$1,'TEN HOC PHAN HKI'!$D$76:$F$87,3,0)</f>
        <v>0</v>
      </c>
      <c r="I37" s="102">
        <f>VLOOKUP(I$1,'TEN HOC PHAN HKI'!$D$76:$F$87,3,0)</f>
        <v>0</v>
      </c>
      <c r="J37" s="102">
        <f>VLOOKUP(J$1,'TEN HOC PHAN HKI'!$D$76:$F$87,3,0)</f>
        <v>0</v>
      </c>
      <c r="K37" s="102">
        <f>VLOOKUP(K$1,'TEN HOC PHAN HKI'!$D$76:$F$87,3,0)</f>
        <v>0</v>
      </c>
      <c r="L37" s="102">
        <f>VLOOKUP(L$1,'TEN HOC PHAN HKI'!$D$76:$F$87,3,0)</f>
        <v>0</v>
      </c>
      <c r="M37" s="102">
        <f>VLOOKUP(M$1,'TEN HOC PHAN HKI'!$D$76:$F$87,3,0)</f>
        <v>0</v>
      </c>
      <c r="N37" s="102">
        <f>VLOOKUP(N$1,'TEN HOC PHAN HKI'!$D$76:$F$87,3,0)</f>
        <v>0</v>
      </c>
    </row>
    <row r="38" spans="1:14" ht="31.5">
      <c r="A38" s="484">
        <v>2</v>
      </c>
      <c r="B38" s="109" t="s">
        <v>726</v>
      </c>
      <c r="C38" s="102" t="str">
        <f>VLOOKUP(C$1,'TEN HOC PHAN HKI'!$D$76:$F$87,2,0)</f>
        <v>Kỹ năng giao tiếp</v>
      </c>
      <c r="D38" s="102" t="str">
        <f>VLOOKUP(D$1,'TEN HOC PHAN HKI'!$D$76:$F$87,2,0)</f>
        <v>Lý thuyết đồ thị</v>
      </c>
      <c r="E38" s="102" t="str">
        <f>VLOOKUP(E$1,'TEN HOC PHAN HKI'!$D$76:$F$87,2,0)</f>
        <v>Lập trình cơ sở dữ liệu</v>
      </c>
      <c r="F38" s="102" t="str">
        <f>VLOOKUP(F$1,'TEN HOC PHAN HKI'!$D$76:$F$87,2,0)</f>
        <v>Lập trình PHP</v>
      </c>
      <c r="G38" s="102">
        <f>VLOOKUP(G$1,'TEN HOC PHAN HKI'!$D$76:$F$87,2,0)</f>
        <v>0</v>
      </c>
      <c r="H38" s="102">
        <f>VLOOKUP(H$1,'TEN HOC PHAN HKI'!$D$76:$F$87,2,0)</f>
        <v>0</v>
      </c>
      <c r="I38" s="102">
        <f>VLOOKUP(I$1,'TEN HOC PHAN HKI'!$D$76:$F$87,2,0)</f>
        <v>0</v>
      </c>
      <c r="J38" s="102">
        <f>VLOOKUP(J$1,'TEN HOC PHAN HKI'!$D$76:$F$87,2,0)</f>
        <v>0</v>
      </c>
      <c r="K38" s="102">
        <f>VLOOKUP(K$1,'TEN HOC PHAN HKI'!$D$76:$F$87,2,0)</f>
        <v>0</v>
      </c>
      <c r="L38" s="102">
        <f>VLOOKUP(L$1,'TEN HOC PHAN HKI'!$D$76:$F$87,2,0)</f>
        <v>0</v>
      </c>
      <c r="M38" s="102">
        <f>VLOOKUP(M$1,'TEN HOC PHAN HKI'!$D$76:$F$87,2,0)</f>
        <v>0</v>
      </c>
      <c r="N38" s="102">
        <f>VLOOKUP(N$1,'TEN HOC PHAN HKI'!$D$76:$F$87,2,0)</f>
        <v>0</v>
      </c>
    </row>
    <row r="39" spans="1:14" ht="16.5" thickBot="1">
      <c r="A39" s="485"/>
      <c r="B39" s="111" t="s">
        <v>951</v>
      </c>
      <c r="C39" s="112">
        <f>VLOOKUP(C$1,'TEN HOC PHAN HKI'!$D$76:$F$87,3,0)</f>
        <v>2</v>
      </c>
      <c r="D39" s="112">
        <f>VLOOKUP(D$1,'TEN HOC PHAN HKI'!$D$76:$F$87,3,0)</f>
        <v>2</v>
      </c>
      <c r="E39" s="112">
        <f>VLOOKUP(E$1,'TEN HOC PHAN HKI'!$D$76:$F$87,3,0)</f>
        <v>4</v>
      </c>
      <c r="F39" s="112">
        <f>VLOOKUP(F$1,'TEN HOC PHAN HKI'!$D$76:$F$87,3,0)</f>
        <v>5</v>
      </c>
      <c r="G39" s="112">
        <f>VLOOKUP(G$1,'TEN HOC PHAN HKI'!$D$76:$F$87,3,0)</f>
        <v>0</v>
      </c>
      <c r="H39" s="112">
        <f>VLOOKUP(H$1,'TEN HOC PHAN HKI'!$D$76:$F$87,3,0)</f>
        <v>0</v>
      </c>
      <c r="I39" s="112">
        <f>VLOOKUP(I$1,'TEN HOC PHAN HKI'!$D$76:$F$87,3,0)</f>
        <v>0</v>
      </c>
      <c r="J39" s="112">
        <f>VLOOKUP(J$1,'TEN HOC PHAN HKI'!$D$76:$F$87,3,0)</f>
        <v>0</v>
      </c>
      <c r="K39" s="112">
        <f>VLOOKUP(K$1,'TEN HOC PHAN HKI'!$D$76:$F$87,3,0)</f>
        <v>0</v>
      </c>
      <c r="L39" s="112">
        <f>VLOOKUP(L$1,'TEN HOC PHAN HKI'!$D$76:$F$87,3,0)</f>
        <v>0</v>
      </c>
      <c r="M39" s="112">
        <f>VLOOKUP(M$1,'TEN HOC PHAN HKI'!$D$76:$F$87,3,0)</f>
        <v>0</v>
      </c>
      <c r="N39" s="112">
        <f>VLOOKUP(N$1,'TEN HOC PHAN HKI'!$D$76:$F$87,3,0)</f>
        <v>0</v>
      </c>
    </row>
    <row r="40" spans="1:14" ht="48" thickTop="1">
      <c r="A40" s="486">
        <v>1</v>
      </c>
      <c r="B40" s="110" t="s">
        <v>786</v>
      </c>
      <c r="C40" s="103" t="str">
        <f>VLOOKUP(C$1,'TEN HOC PHAN HKI'!$D$88:$F$99,2,0)</f>
        <v>Kỹ năng giao tiếp</v>
      </c>
      <c r="D40" s="103" t="str">
        <f>VLOOKUP(D$1,'TEN HOC PHAN HKI'!$D$88:$F$99,2,0)</f>
        <v>Lý thuyết đồ thị</v>
      </c>
      <c r="E40" s="103" t="str">
        <f>VLOOKUP(E$1,'TEN HOC PHAN HKI'!$D$88:$F$99,2,0)</f>
        <v>Phương pháp nghiên cứu khoa học</v>
      </c>
      <c r="F40" s="103" t="str">
        <f>VLOOKUP(F$1,'TEN HOC PHAN HKI'!$D$88:$F$99,2,0)</f>
        <v>Thiết kế Web</v>
      </c>
      <c r="G40" s="103" t="str">
        <f>VLOOKUP(G$1,'TEN HOC PHAN HKI'!$D$88:$F$99,2,0)</f>
        <v>Mạng Linux 1</v>
      </c>
      <c r="H40" s="103" t="str">
        <f>VLOOKUP(H$1,'TEN HOC PHAN HKI'!$D$88:$F$99,2,0)</f>
        <v>Mạng nâng cao</v>
      </c>
      <c r="I40" s="103">
        <f>VLOOKUP(I$1,'TEN HOC PHAN HKI'!$D$88:$F$99,2,0)</f>
        <v>0</v>
      </c>
      <c r="J40" s="103">
        <f>VLOOKUP(J$1,'TEN HOC PHAN HKI'!$D$88:$F$99,2,0)</f>
        <v>0</v>
      </c>
      <c r="K40" s="103">
        <f>VLOOKUP(K$1,'TEN HOC PHAN HKI'!$D$88:$F$99,2,0)</f>
        <v>0</v>
      </c>
      <c r="L40" s="103">
        <f>VLOOKUP(L$1,'TEN HOC PHAN HKI'!$D$88:$F$99,2,0)</f>
        <v>0</v>
      </c>
      <c r="M40" s="103">
        <f>VLOOKUP(M$1,'TEN HOC PHAN HKI'!$D$88:$F$99,2,0)</f>
        <v>0</v>
      </c>
      <c r="N40" s="103">
        <f>VLOOKUP(N$1,'TEN HOC PHAN HKI'!$D$88:$F$99,2,0)</f>
        <v>0</v>
      </c>
    </row>
    <row r="41" spans="1:14">
      <c r="A41" s="484"/>
      <c r="B41" s="9" t="s">
        <v>952</v>
      </c>
      <c r="C41" s="102">
        <f>VLOOKUP(C$1,'TEN HOC PHAN HKI'!$D$88:$F$99,3,0)</f>
        <v>2</v>
      </c>
      <c r="D41" s="102">
        <f>VLOOKUP(D$1,'TEN HOC PHAN HKI'!$D$88:$F$99,3,0)</f>
        <v>2</v>
      </c>
      <c r="E41" s="102">
        <f>VLOOKUP(E$1,'TEN HOC PHAN HKI'!$D$88:$F$99,3,0)</f>
        <v>2</v>
      </c>
      <c r="F41" s="102">
        <f>VLOOKUP(F$1,'TEN HOC PHAN HKI'!$D$88:$F$99,3,0)</f>
        <v>4</v>
      </c>
      <c r="G41" s="102">
        <f>VLOOKUP(G$1,'TEN HOC PHAN HKI'!$D$88:$F$99,3,0)</f>
        <v>2</v>
      </c>
      <c r="H41" s="102">
        <f>VLOOKUP(H$1,'TEN HOC PHAN HKI'!$D$88:$F$99,3,0)</f>
        <v>3</v>
      </c>
      <c r="I41" s="102">
        <f>VLOOKUP(I$1,'TEN HOC PHAN HKI'!$D$88:$F$99,3,0)</f>
        <v>0</v>
      </c>
      <c r="J41" s="102">
        <f>VLOOKUP(J$1,'TEN HOC PHAN HKI'!$D$88:$F$99,3,0)</f>
        <v>0</v>
      </c>
      <c r="K41" s="102">
        <f>VLOOKUP(K$1,'TEN HOC PHAN HKI'!$D$88:$F$99,3,0)</f>
        <v>0</v>
      </c>
      <c r="L41" s="102">
        <f>VLOOKUP(L$1,'TEN HOC PHAN HKI'!$D$88:$F$99,3,0)</f>
        <v>0</v>
      </c>
      <c r="M41" s="102">
        <f>VLOOKUP(M$1,'TEN HOC PHAN HKI'!$D$88:$F$99,3,0)</f>
        <v>0</v>
      </c>
      <c r="N41" s="102">
        <f>VLOOKUP(N$1,'TEN HOC PHAN HKI'!$D$88:$F$99,3,0)</f>
        <v>0</v>
      </c>
    </row>
    <row r="42" spans="1:14" ht="47.25">
      <c r="A42" s="484">
        <v>2</v>
      </c>
      <c r="B42" s="109" t="s">
        <v>860</v>
      </c>
      <c r="C42" s="102" t="str">
        <f>VLOOKUP(C$1,'TEN HOC PHAN HKI'!$D$88:$F$99,2,0)</f>
        <v>Kỹ năng giao tiếp</v>
      </c>
      <c r="D42" s="102" t="str">
        <f>VLOOKUP(D$1,'TEN HOC PHAN HKI'!$D$88:$F$99,2,0)</f>
        <v>Lý thuyết đồ thị</v>
      </c>
      <c r="E42" s="102" t="str">
        <f>VLOOKUP(E$1,'TEN HOC PHAN HKI'!$D$88:$F$99,2,0)</f>
        <v>Phương pháp nghiên cứu khoa học</v>
      </c>
      <c r="F42" s="102" t="str">
        <f>VLOOKUP(F$1,'TEN HOC PHAN HKI'!$D$88:$F$99,2,0)</f>
        <v>Thiết kế Web</v>
      </c>
      <c r="G42" s="102" t="str">
        <f>VLOOKUP(G$1,'TEN HOC PHAN HKI'!$D$88:$F$99,2,0)</f>
        <v>Mạng Linux 1</v>
      </c>
      <c r="H42" s="102" t="str">
        <f>VLOOKUP(H$1,'TEN HOC PHAN HKI'!$D$88:$F$99,2,0)</f>
        <v>Mạng nâng cao</v>
      </c>
      <c r="I42" s="102">
        <f>VLOOKUP(I$1,'TEN HOC PHAN HKI'!$D$88:$F$99,2,0)</f>
        <v>0</v>
      </c>
      <c r="J42" s="102">
        <f>VLOOKUP(J$1,'TEN HOC PHAN HKI'!$D$88:$F$99,2,0)</f>
        <v>0</v>
      </c>
      <c r="K42" s="102">
        <f>VLOOKUP(K$1,'TEN HOC PHAN HKI'!$D$88:$F$99,2,0)</f>
        <v>0</v>
      </c>
      <c r="L42" s="102">
        <f>VLOOKUP(L$1,'TEN HOC PHAN HKI'!$D$88:$F$99,2,0)</f>
        <v>0</v>
      </c>
      <c r="M42" s="102">
        <f>VLOOKUP(M$1,'TEN HOC PHAN HKI'!$D$88:$F$99,2,0)</f>
        <v>0</v>
      </c>
      <c r="N42" s="102">
        <f>VLOOKUP(N$1,'TEN HOC PHAN HKI'!$D$88:$F$99,2,0)</f>
        <v>0</v>
      </c>
    </row>
    <row r="43" spans="1:14" ht="16.5" thickBot="1">
      <c r="A43" s="485"/>
      <c r="B43" s="111" t="s">
        <v>953</v>
      </c>
      <c r="C43" s="112">
        <f>VLOOKUP(C$1,'TEN HOC PHAN HKI'!$D$88:$F$99,3,0)</f>
        <v>2</v>
      </c>
      <c r="D43" s="112">
        <f>VLOOKUP(D$1,'TEN HOC PHAN HKI'!$D$88:$F$99,3,0)</f>
        <v>2</v>
      </c>
      <c r="E43" s="112">
        <f>VLOOKUP(E$1,'TEN HOC PHAN HKI'!$D$88:$F$99,3,0)</f>
        <v>2</v>
      </c>
      <c r="F43" s="112">
        <f>VLOOKUP(F$1,'TEN HOC PHAN HKI'!$D$88:$F$99,3,0)</f>
        <v>4</v>
      </c>
      <c r="G43" s="112">
        <f>VLOOKUP(G$1,'TEN HOC PHAN HKI'!$D$88:$F$99,3,0)</f>
        <v>2</v>
      </c>
      <c r="H43" s="112">
        <f>VLOOKUP(H$1,'TEN HOC PHAN HKI'!$D$88:$F$99,3,0)</f>
        <v>3</v>
      </c>
      <c r="I43" s="112">
        <f>VLOOKUP(I$1,'TEN HOC PHAN HKI'!$D$88:$F$99,3,0)</f>
        <v>0</v>
      </c>
      <c r="J43" s="112">
        <f>VLOOKUP(J$1,'TEN HOC PHAN HKI'!$D$88:$F$99,3,0)</f>
        <v>0</v>
      </c>
      <c r="K43" s="112">
        <f>VLOOKUP(K$1,'TEN HOC PHAN HKI'!$D$88:$F$99,3,0)</f>
        <v>0</v>
      </c>
      <c r="L43" s="112">
        <f>VLOOKUP(L$1,'TEN HOC PHAN HKI'!$D$88:$F$99,3,0)</f>
        <v>0</v>
      </c>
      <c r="M43" s="112">
        <f>VLOOKUP(M$1,'TEN HOC PHAN HKI'!$D$88:$F$99,3,0)</f>
        <v>0</v>
      </c>
      <c r="N43" s="112">
        <f>VLOOKUP(N$1,'TEN HOC PHAN HKI'!$D$88:$F$99,3,0)</f>
        <v>0</v>
      </c>
    </row>
    <row r="44" spans="1:14" ht="16.5" thickTop="1"/>
  </sheetData>
  <sheetProtection sheet="1" autoFilter="0"/>
  <mergeCells count="21">
    <mergeCell ref="A22:A23"/>
    <mergeCell ref="A30:A31"/>
    <mergeCell ref="A14:A15"/>
    <mergeCell ref="A16:A17"/>
    <mergeCell ref="A18:A19"/>
    <mergeCell ref="A20:A21"/>
    <mergeCell ref="A10:A11"/>
    <mergeCell ref="A12:A13"/>
    <mergeCell ref="A8:A9"/>
    <mergeCell ref="A2:A3"/>
    <mergeCell ref="A4:A5"/>
    <mergeCell ref="A6:A7"/>
    <mergeCell ref="A42:A43"/>
    <mergeCell ref="A26:A27"/>
    <mergeCell ref="A24:A25"/>
    <mergeCell ref="A34:A35"/>
    <mergeCell ref="A40:A41"/>
    <mergeCell ref="A28:A29"/>
    <mergeCell ref="A36:A37"/>
    <mergeCell ref="A38:A39"/>
    <mergeCell ref="A32:A33"/>
  </mergeCells>
  <phoneticPr fontId="9" type="noConversion"/>
  <pageMargins left="0.31" right="0.22" top="0.24" bottom="0.21" header="0.25" footer="0.2"/>
  <pageSetup paperSize="8"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FFFF00"/>
    <pageSetUpPr fitToPage="1"/>
  </sheetPr>
  <dimension ref="A1:C19"/>
  <sheetViews>
    <sheetView workbookViewId="0">
      <selection activeCell="A10" sqref="A10:A14"/>
    </sheetView>
  </sheetViews>
  <sheetFormatPr defaultRowHeight="18"/>
  <cols>
    <col min="1" max="1" width="8.140625" style="41" bestFit="1" customWidth="1"/>
    <col min="2" max="2" width="33.5703125" style="41" customWidth="1"/>
    <col min="3" max="3" width="87.85546875" style="41" customWidth="1"/>
    <col min="4" max="16384" width="9.140625" style="41"/>
  </cols>
  <sheetData>
    <row r="1" spans="1:3" s="29" customFormat="1" ht="44.25" customHeight="1">
      <c r="A1" s="493" t="s">
        <v>1137</v>
      </c>
      <c r="B1" s="494"/>
      <c r="C1" s="494"/>
    </row>
    <row r="2" spans="1:3" s="29" customFormat="1" ht="43.5" customHeight="1">
      <c r="A2" s="30" t="s">
        <v>272</v>
      </c>
      <c r="B2" s="30" t="s">
        <v>456</v>
      </c>
      <c r="C2" s="30" t="s">
        <v>457</v>
      </c>
    </row>
    <row r="3" spans="1:3" s="37" customFormat="1" ht="42" customHeight="1">
      <c r="A3" s="31">
        <v>1</v>
      </c>
      <c r="B3" s="32" t="s">
        <v>2606</v>
      </c>
      <c r="C3" s="32" t="s">
        <v>1136</v>
      </c>
    </row>
    <row r="4" spans="1:3" s="38" customFormat="1" ht="26.25" customHeight="1">
      <c r="A4" s="491">
        <v>2</v>
      </c>
      <c r="B4" s="492" t="s">
        <v>2698</v>
      </c>
      <c r="C4" s="32" t="s">
        <v>459</v>
      </c>
    </row>
    <row r="5" spans="1:3" s="38" customFormat="1" ht="44.25" customHeight="1">
      <c r="A5" s="491"/>
      <c r="B5" s="492"/>
      <c r="C5" s="32" t="s">
        <v>458</v>
      </c>
    </row>
    <row r="6" spans="1:3" s="38" customFormat="1" ht="57" customHeight="1">
      <c r="A6" s="33">
        <v>3</v>
      </c>
      <c r="B6" s="34" t="s">
        <v>2699</v>
      </c>
      <c r="C6" s="35" t="s">
        <v>2550</v>
      </c>
    </row>
    <row r="7" spans="1:3" s="39" customFormat="1" ht="60" customHeight="1">
      <c r="A7" s="497">
        <v>4</v>
      </c>
      <c r="B7" s="492" t="s">
        <v>2549</v>
      </c>
      <c r="C7" s="312" t="s">
        <v>2551</v>
      </c>
    </row>
    <row r="8" spans="1:3" s="39" customFormat="1" ht="72.75" customHeight="1">
      <c r="A8" s="497"/>
      <c r="B8" s="492"/>
      <c r="C8" s="49" t="s">
        <v>2552</v>
      </c>
    </row>
    <row r="9" spans="1:3" s="39" customFormat="1" ht="29.25" customHeight="1">
      <c r="A9" s="33">
        <v>5</v>
      </c>
      <c r="B9" s="495" t="s">
        <v>1002</v>
      </c>
      <c r="C9" s="496"/>
    </row>
    <row r="10" spans="1:3" s="313" customFormat="1" ht="45" customHeight="1">
      <c r="A10" s="491">
        <v>6</v>
      </c>
      <c r="B10" s="492" t="s">
        <v>2698</v>
      </c>
      <c r="C10" s="32" t="s">
        <v>460</v>
      </c>
    </row>
    <row r="11" spans="1:3" s="38" customFormat="1" ht="27.75" customHeight="1">
      <c r="A11" s="491"/>
      <c r="B11" s="492"/>
      <c r="C11" s="32" t="s">
        <v>2700</v>
      </c>
    </row>
    <row r="12" spans="1:3" s="38" customFormat="1" ht="78.75" customHeight="1">
      <c r="A12" s="491"/>
      <c r="B12" s="492"/>
      <c r="C12" s="49" t="s">
        <v>2701</v>
      </c>
    </row>
    <row r="13" spans="1:3" s="38" customFormat="1" ht="27.75" customHeight="1">
      <c r="A13" s="491"/>
      <c r="B13" s="492"/>
      <c r="C13" s="32" t="s">
        <v>2702</v>
      </c>
    </row>
    <row r="14" spans="1:3" s="38" customFormat="1" ht="46.5" customHeight="1">
      <c r="A14" s="491"/>
      <c r="B14" s="492"/>
      <c r="C14" s="40" t="s">
        <v>2703</v>
      </c>
    </row>
    <row r="15" spans="1:3" s="38" customFormat="1" ht="70.5" customHeight="1">
      <c r="A15" s="487" t="s">
        <v>2704</v>
      </c>
      <c r="B15" s="487"/>
      <c r="C15" s="487"/>
    </row>
    <row r="16" spans="1:3" s="36" customFormat="1" ht="57" customHeight="1">
      <c r="A16" s="488" t="s">
        <v>2705</v>
      </c>
      <c r="B16" s="489"/>
      <c r="C16" s="490"/>
    </row>
    <row r="17" spans="1:3" s="36" customFormat="1" ht="42.75" customHeight="1">
      <c r="A17" s="487" t="s">
        <v>2706</v>
      </c>
      <c r="B17" s="487"/>
      <c r="C17" s="487"/>
    </row>
    <row r="18" spans="1:3" s="36" customFormat="1" ht="34.5" customHeight="1">
      <c r="A18" s="38"/>
      <c r="B18" s="38"/>
      <c r="C18" s="38"/>
    </row>
    <row r="19" spans="1:3" s="38" customFormat="1">
      <c r="A19" s="41"/>
      <c r="B19" s="41"/>
      <c r="C19" s="41"/>
    </row>
  </sheetData>
  <mergeCells count="11">
    <mergeCell ref="A1:C1"/>
    <mergeCell ref="B9:C9"/>
    <mergeCell ref="A4:A5"/>
    <mergeCell ref="B4:B5"/>
    <mergeCell ref="A7:A8"/>
    <mergeCell ref="B7:B8"/>
    <mergeCell ref="A17:C17"/>
    <mergeCell ref="A15:C15"/>
    <mergeCell ref="A16:C16"/>
    <mergeCell ref="A10:A14"/>
    <mergeCell ref="B10:B14"/>
  </mergeCells>
  <phoneticPr fontId="9" type="noConversion"/>
  <printOptions horizontalCentered="1" verticalCentered="1"/>
  <pageMargins left="0.25" right="0.25" top="0.5" bottom="0.5" header="0.5" footer="0.5"/>
  <pageSetup paperSize="9" scale="90" orientation="landscape" r:id="rId1"/>
  <headerFooter alignWithMargins="0">
    <oddHeader>&amp;LTrường Cao đẳng Kỹ thuật Lý Tự Trọng&amp;RPhòng KT&amp;KĐCLGD</oddHeader>
    <oddFooter>&amp;LQuy trình nhập điểm&amp;CBiên soạn: Ha Phuoc Tuan&amp;RTrang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filterMode="1">
    <tabColor rgb="FF00B050"/>
  </sheetPr>
  <dimension ref="A1:N951"/>
  <sheetViews>
    <sheetView zoomScale="130" zoomScaleNormal="130" workbookViewId="0">
      <pane ySplit="1" topLeftCell="A131" activePane="bottomLeft" state="frozen"/>
      <selection pane="bottomLeft" activeCell="B131" sqref="B131:B180"/>
    </sheetView>
  </sheetViews>
  <sheetFormatPr defaultRowHeight="23.25" customHeight="1"/>
  <cols>
    <col min="1" max="1" width="5.140625" style="106" bestFit="1" customWidth="1"/>
    <col min="2" max="2" width="14.28515625" style="106" customWidth="1"/>
    <col min="3" max="3" width="21.85546875" style="107" bestFit="1" customWidth="1"/>
    <col min="4" max="4" width="8.42578125" style="117" bestFit="1" customWidth="1"/>
    <col min="5" max="5" width="10.5703125" style="106" bestFit="1" customWidth="1"/>
    <col min="6" max="6" width="9.85546875" style="106" bestFit="1" customWidth="1"/>
    <col min="7" max="7" width="5.5703125" style="106" bestFit="1" customWidth="1"/>
    <col min="8" max="8" width="3.85546875" style="106" bestFit="1" customWidth="1"/>
    <col min="9" max="9" width="22.42578125" style="117" bestFit="1" customWidth="1"/>
    <col min="10" max="10" width="3" style="133" hidden="1" customWidth="1"/>
    <col min="11" max="16384" width="9.140625" style="106"/>
  </cols>
  <sheetData>
    <row r="1" spans="1:14" s="134" customFormat="1" ht="25.5" customHeight="1">
      <c r="A1" s="391" t="s">
        <v>272</v>
      </c>
      <c r="B1" s="391" t="s">
        <v>188</v>
      </c>
      <c r="C1" s="392" t="s">
        <v>273</v>
      </c>
      <c r="D1" s="393" t="s">
        <v>274</v>
      </c>
      <c r="E1" s="391" t="s">
        <v>275</v>
      </c>
      <c r="F1" s="394" t="s">
        <v>276</v>
      </c>
      <c r="G1" s="391" t="s">
        <v>277</v>
      </c>
      <c r="H1" s="391" t="s">
        <v>278</v>
      </c>
      <c r="I1" s="390" t="str">
        <f>"Khoá 13CĐ = "&amp;COUNTIF(J:J,"13")</f>
        <v>Khoá 13CĐ = 950</v>
      </c>
      <c r="J1" s="130"/>
      <c r="K1" s="498" t="s">
        <v>2686</v>
      </c>
      <c r="L1" s="498"/>
      <c r="M1" s="498"/>
      <c r="N1" s="113">
        <f>MAX(A:A)</f>
        <v>65</v>
      </c>
    </row>
    <row r="2" spans="1:14" s="114" customFormat="1" ht="24" hidden="1" customHeight="1">
      <c r="A2" s="395">
        <v>1</v>
      </c>
      <c r="B2" s="132" t="s">
        <v>1264</v>
      </c>
      <c r="C2" s="437" t="s">
        <v>282</v>
      </c>
      <c r="D2" s="438" t="s">
        <v>1265</v>
      </c>
      <c r="E2" s="395" t="s">
        <v>1266</v>
      </c>
      <c r="F2" s="396" t="s">
        <v>1267</v>
      </c>
      <c r="G2" s="395"/>
      <c r="H2" s="395" t="s">
        <v>281</v>
      </c>
      <c r="I2" s="397"/>
      <c r="J2" s="131" t="str">
        <f>LEFT(F2,2)</f>
        <v>13</v>
      </c>
    </row>
    <row r="3" spans="1:14" s="114" customFormat="1" ht="24" hidden="1" customHeight="1">
      <c r="A3" s="398">
        <v>2</v>
      </c>
      <c r="B3" s="132" t="s">
        <v>1417</v>
      </c>
      <c r="C3" s="439" t="s">
        <v>224</v>
      </c>
      <c r="D3" s="440" t="s">
        <v>197</v>
      </c>
      <c r="E3" s="398" t="s">
        <v>401</v>
      </c>
      <c r="F3" s="398" t="s">
        <v>1267</v>
      </c>
      <c r="G3" s="398"/>
      <c r="H3" s="398" t="s">
        <v>486</v>
      </c>
      <c r="I3" s="399" t="s">
        <v>955</v>
      </c>
      <c r="J3" s="131" t="str">
        <f t="shared" ref="J3:J66" si="0">LEFT(F3,2)</f>
        <v>13</v>
      </c>
    </row>
    <row r="4" spans="1:14" s="114" customFormat="1" ht="24" hidden="1" customHeight="1">
      <c r="A4" s="398">
        <v>3</v>
      </c>
      <c r="B4" s="132" t="s">
        <v>1272</v>
      </c>
      <c r="C4" s="439" t="s">
        <v>288</v>
      </c>
      <c r="D4" s="440" t="s">
        <v>289</v>
      </c>
      <c r="E4" s="398" t="s">
        <v>290</v>
      </c>
      <c r="F4" s="398" t="s">
        <v>1267</v>
      </c>
      <c r="G4" s="398"/>
      <c r="H4" s="398" t="s">
        <v>281</v>
      </c>
      <c r="I4" s="399"/>
      <c r="J4" s="131" t="str">
        <f t="shared" si="0"/>
        <v>13</v>
      </c>
    </row>
    <row r="5" spans="1:14" s="114" customFormat="1" ht="24" hidden="1" customHeight="1">
      <c r="A5" s="398">
        <v>4</v>
      </c>
      <c r="B5" s="132" t="s">
        <v>1420</v>
      </c>
      <c r="C5" s="439" t="s">
        <v>1421</v>
      </c>
      <c r="D5" s="440" t="s">
        <v>364</v>
      </c>
      <c r="E5" s="398" t="s">
        <v>361</v>
      </c>
      <c r="F5" s="398" t="s">
        <v>1267</v>
      </c>
      <c r="G5" s="398"/>
      <c r="H5" s="398" t="s">
        <v>281</v>
      </c>
      <c r="I5" s="399" t="s">
        <v>955</v>
      </c>
      <c r="J5" s="131" t="str">
        <f t="shared" si="0"/>
        <v>13</v>
      </c>
    </row>
    <row r="6" spans="1:14" s="114" customFormat="1" ht="24" hidden="1" customHeight="1">
      <c r="A6" s="398">
        <v>5</v>
      </c>
      <c r="B6" s="132" t="s">
        <v>1268</v>
      </c>
      <c r="C6" s="439" t="s">
        <v>284</v>
      </c>
      <c r="D6" s="440" t="s">
        <v>285</v>
      </c>
      <c r="E6" s="398" t="s">
        <v>286</v>
      </c>
      <c r="F6" s="398" t="s">
        <v>1267</v>
      </c>
      <c r="G6" s="398"/>
      <c r="H6" s="398" t="s">
        <v>281</v>
      </c>
      <c r="I6" s="399"/>
      <c r="J6" s="131" t="str">
        <f t="shared" si="0"/>
        <v>13</v>
      </c>
    </row>
    <row r="7" spans="1:14" s="114" customFormat="1" ht="24" hidden="1" customHeight="1">
      <c r="A7" s="398">
        <v>6</v>
      </c>
      <c r="B7" s="132" t="s">
        <v>1273</v>
      </c>
      <c r="C7" s="439" t="s">
        <v>1274</v>
      </c>
      <c r="D7" s="440" t="s">
        <v>291</v>
      </c>
      <c r="E7" s="398" t="s">
        <v>1275</v>
      </c>
      <c r="F7" s="398" t="s">
        <v>1267</v>
      </c>
      <c r="G7" s="398"/>
      <c r="H7" s="398" t="s">
        <v>486</v>
      </c>
      <c r="I7" s="399"/>
      <c r="J7" s="131" t="str">
        <f t="shared" si="0"/>
        <v>13</v>
      </c>
    </row>
    <row r="8" spans="1:14" s="114" customFormat="1" ht="24" hidden="1" customHeight="1">
      <c r="A8" s="398">
        <v>7</v>
      </c>
      <c r="B8" s="132" t="s">
        <v>1418</v>
      </c>
      <c r="C8" s="439" t="s">
        <v>195</v>
      </c>
      <c r="D8" s="440" t="s">
        <v>363</v>
      </c>
      <c r="E8" s="398" t="s">
        <v>1419</v>
      </c>
      <c r="F8" s="398" t="s">
        <v>1267</v>
      </c>
      <c r="G8" s="398"/>
      <c r="H8" s="398" t="s">
        <v>281</v>
      </c>
      <c r="I8" s="399" t="s">
        <v>955</v>
      </c>
      <c r="J8" s="131" t="str">
        <f t="shared" si="0"/>
        <v>13</v>
      </c>
    </row>
    <row r="9" spans="1:14" s="114" customFormat="1" ht="24" hidden="1" customHeight="1">
      <c r="A9" s="398">
        <v>8</v>
      </c>
      <c r="B9" s="132" t="s">
        <v>1269</v>
      </c>
      <c r="C9" s="439" t="s">
        <v>1270</v>
      </c>
      <c r="D9" s="440" t="s">
        <v>287</v>
      </c>
      <c r="E9" s="398" t="s">
        <v>1271</v>
      </c>
      <c r="F9" s="398" t="s">
        <v>1267</v>
      </c>
      <c r="G9" s="398"/>
      <c r="H9" s="398" t="s">
        <v>281</v>
      </c>
      <c r="I9" s="399"/>
      <c r="J9" s="131" t="str">
        <f t="shared" si="0"/>
        <v>13</v>
      </c>
    </row>
    <row r="10" spans="1:14" s="114" customFormat="1" ht="24" hidden="1" customHeight="1">
      <c r="A10" s="398">
        <v>9</v>
      </c>
      <c r="B10" s="132" t="s">
        <v>1422</v>
      </c>
      <c r="C10" s="439" t="s">
        <v>1423</v>
      </c>
      <c r="D10" s="440" t="s">
        <v>202</v>
      </c>
      <c r="E10" s="398" t="s">
        <v>402</v>
      </c>
      <c r="F10" s="398" t="s">
        <v>1267</v>
      </c>
      <c r="G10" s="398"/>
      <c r="H10" s="398" t="s">
        <v>486</v>
      </c>
      <c r="I10" s="399" t="s">
        <v>955</v>
      </c>
      <c r="J10" s="131" t="str">
        <f t="shared" si="0"/>
        <v>13</v>
      </c>
    </row>
    <row r="11" spans="1:14" s="114" customFormat="1" ht="24" hidden="1" customHeight="1">
      <c r="A11" s="398">
        <v>10</v>
      </c>
      <c r="B11" s="132" t="s">
        <v>1276</v>
      </c>
      <c r="C11" s="439" t="s">
        <v>1277</v>
      </c>
      <c r="D11" s="440" t="s">
        <v>202</v>
      </c>
      <c r="E11" s="398" t="s">
        <v>292</v>
      </c>
      <c r="F11" s="398" t="s">
        <v>1267</v>
      </c>
      <c r="G11" s="398"/>
      <c r="H11" s="398" t="s">
        <v>281</v>
      </c>
      <c r="I11" s="399" t="s">
        <v>1278</v>
      </c>
      <c r="J11" s="131" t="str">
        <f t="shared" si="0"/>
        <v>13</v>
      </c>
    </row>
    <row r="12" spans="1:14" s="114" customFormat="1" ht="24" hidden="1" customHeight="1">
      <c r="A12" s="398">
        <v>11</v>
      </c>
      <c r="B12" s="132" t="s">
        <v>1279</v>
      </c>
      <c r="C12" s="439" t="s">
        <v>206</v>
      </c>
      <c r="D12" s="440" t="s">
        <v>1280</v>
      </c>
      <c r="E12" s="398" t="s">
        <v>1281</v>
      </c>
      <c r="F12" s="398" t="s">
        <v>1267</v>
      </c>
      <c r="G12" s="398"/>
      <c r="H12" s="398" t="s">
        <v>281</v>
      </c>
      <c r="I12" s="399"/>
      <c r="J12" s="131" t="str">
        <f t="shared" si="0"/>
        <v>13</v>
      </c>
    </row>
    <row r="13" spans="1:14" s="114" customFormat="1" ht="24" hidden="1" customHeight="1">
      <c r="A13" s="398">
        <v>12</v>
      </c>
      <c r="B13" s="132" t="s">
        <v>1424</v>
      </c>
      <c r="C13" s="439" t="s">
        <v>1425</v>
      </c>
      <c r="D13" s="440" t="s">
        <v>403</v>
      </c>
      <c r="E13" s="398" t="s">
        <v>348</v>
      </c>
      <c r="F13" s="398" t="s">
        <v>1267</v>
      </c>
      <c r="G13" s="398"/>
      <c r="H13" s="398" t="s">
        <v>486</v>
      </c>
      <c r="I13" s="399" t="s">
        <v>955</v>
      </c>
      <c r="J13" s="131" t="str">
        <f t="shared" si="0"/>
        <v>13</v>
      </c>
    </row>
    <row r="14" spans="1:14" s="114" customFormat="1" ht="24" hidden="1" customHeight="1">
      <c r="A14" s="398">
        <v>13</v>
      </c>
      <c r="B14" s="132" t="s">
        <v>1282</v>
      </c>
      <c r="C14" s="439" t="s">
        <v>1283</v>
      </c>
      <c r="D14" s="440" t="s">
        <v>1284</v>
      </c>
      <c r="E14" s="398" t="s">
        <v>1285</v>
      </c>
      <c r="F14" s="398" t="s">
        <v>1267</v>
      </c>
      <c r="G14" s="398"/>
      <c r="H14" s="398" t="s">
        <v>281</v>
      </c>
      <c r="I14" s="399"/>
      <c r="J14" s="131" t="str">
        <f t="shared" si="0"/>
        <v>13</v>
      </c>
    </row>
    <row r="15" spans="1:14" s="114" customFormat="1" ht="24" hidden="1" customHeight="1">
      <c r="A15" s="398">
        <v>14</v>
      </c>
      <c r="B15" s="132" t="s">
        <v>1426</v>
      </c>
      <c r="C15" s="439" t="s">
        <v>193</v>
      </c>
      <c r="D15" s="440" t="s">
        <v>406</v>
      </c>
      <c r="E15" s="398" t="s">
        <v>1427</v>
      </c>
      <c r="F15" s="398" t="s">
        <v>1267</v>
      </c>
      <c r="G15" s="398"/>
      <c r="H15" s="398" t="s">
        <v>281</v>
      </c>
      <c r="I15" s="399" t="s">
        <v>955</v>
      </c>
      <c r="J15" s="131" t="str">
        <f t="shared" si="0"/>
        <v>13</v>
      </c>
    </row>
    <row r="16" spans="1:14" s="114" customFormat="1" ht="24" hidden="1" customHeight="1">
      <c r="A16" s="398">
        <v>15</v>
      </c>
      <c r="B16" s="132" t="s">
        <v>1286</v>
      </c>
      <c r="C16" s="439" t="s">
        <v>1287</v>
      </c>
      <c r="D16" s="440" t="s">
        <v>293</v>
      </c>
      <c r="E16" s="398" t="s">
        <v>294</v>
      </c>
      <c r="F16" s="398" t="s">
        <v>1267</v>
      </c>
      <c r="G16" s="398"/>
      <c r="H16" s="398" t="s">
        <v>281</v>
      </c>
      <c r="I16" s="399"/>
      <c r="J16" s="131" t="str">
        <f t="shared" si="0"/>
        <v>13</v>
      </c>
    </row>
    <row r="17" spans="1:10" s="114" customFormat="1" ht="24" hidden="1" customHeight="1">
      <c r="A17" s="398">
        <v>16</v>
      </c>
      <c r="B17" s="132" t="s">
        <v>1428</v>
      </c>
      <c r="C17" s="439" t="s">
        <v>386</v>
      </c>
      <c r="D17" s="440" t="s">
        <v>293</v>
      </c>
      <c r="E17" s="398" t="s">
        <v>408</v>
      </c>
      <c r="F17" s="398" t="s">
        <v>1267</v>
      </c>
      <c r="G17" s="398"/>
      <c r="H17" s="398" t="s">
        <v>281</v>
      </c>
      <c r="I17" s="399" t="s">
        <v>956</v>
      </c>
      <c r="J17" s="131" t="str">
        <f t="shared" si="0"/>
        <v>13</v>
      </c>
    </row>
    <row r="18" spans="1:10" s="114" customFormat="1" ht="24" hidden="1" customHeight="1">
      <c r="A18" s="398">
        <v>17</v>
      </c>
      <c r="B18" s="132" t="s">
        <v>1288</v>
      </c>
      <c r="C18" s="439" t="s">
        <v>1289</v>
      </c>
      <c r="D18" s="440" t="s">
        <v>295</v>
      </c>
      <c r="E18" s="398" t="s">
        <v>1290</v>
      </c>
      <c r="F18" s="398" t="s">
        <v>1267</v>
      </c>
      <c r="G18" s="398"/>
      <c r="H18" s="398" t="s">
        <v>281</v>
      </c>
      <c r="I18" s="399"/>
      <c r="J18" s="131" t="str">
        <f t="shared" si="0"/>
        <v>13</v>
      </c>
    </row>
    <row r="19" spans="1:10" s="114" customFormat="1" ht="24" hidden="1" customHeight="1">
      <c r="A19" s="398">
        <v>18</v>
      </c>
      <c r="B19" s="132" t="s">
        <v>1429</v>
      </c>
      <c r="C19" s="439" t="s">
        <v>1430</v>
      </c>
      <c r="D19" s="440" t="s">
        <v>296</v>
      </c>
      <c r="E19" s="398" t="s">
        <v>410</v>
      </c>
      <c r="F19" s="398" t="s">
        <v>1267</v>
      </c>
      <c r="G19" s="398"/>
      <c r="H19" s="398" t="s">
        <v>281</v>
      </c>
      <c r="I19" s="399" t="s">
        <v>955</v>
      </c>
      <c r="J19" s="131" t="str">
        <f t="shared" si="0"/>
        <v>13</v>
      </c>
    </row>
    <row r="20" spans="1:10" s="114" customFormat="1" ht="24" hidden="1" customHeight="1">
      <c r="A20" s="398">
        <v>19</v>
      </c>
      <c r="B20" s="132" t="s">
        <v>1431</v>
      </c>
      <c r="C20" s="439" t="s">
        <v>1432</v>
      </c>
      <c r="D20" s="440" t="s">
        <v>208</v>
      </c>
      <c r="E20" s="398" t="s">
        <v>1433</v>
      </c>
      <c r="F20" s="398" t="s">
        <v>1267</v>
      </c>
      <c r="G20" s="398"/>
      <c r="H20" s="398" t="s">
        <v>281</v>
      </c>
      <c r="I20" s="399" t="s">
        <v>955</v>
      </c>
      <c r="J20" s="131" t="str">
        <f t="shared" si="0"/>
        <v>13</v>
      </c>
    </row>
    <row r="21" spans="1:10" s="114" customFormat="1" ht="24" hidden="1" customHeight="1">
      <c r="A21" s="398">
        <v>20</v>
      </c>
      <c r="B21" s="132" t="s">
        <v>1291</v>
      </c>
      <c r="C21" s="439" t="s">
        <v>206</v>
      </c>
      <c r="D21" s="440" t="s">
        <v>326</v>
      </c>
      <c r="E21" s="398" t="s">
        <v>1292</v>
      </c>
      <c r="F21" s="398" t="s">
        <v>1267</v>
      </c>
      <c r="G21" s="398"/>
      <c r="H21" s="398" t="s">
        <v>281</v>
      </c>
      <c r="I21" s="399"/>
      <c r="J21" s="131" t="str">
        <f t="shared" si="0"/>
        <v>13</v>
      </c>
    </row>
    <row r="22" spans="1:10" s="114" customFormat="1" ht="24" hidden="1" customHeight="1">
      <c r="A22" s="398">
        <v>21</v>
      </c>
      <c r="B22" s="132" t="s">
        <v>1293</v>
      </c>
      <c r="C22" s="439" t="s">
        <v>206</v>
      </c>
      <c r="D22" s="440" t="s">
        <v>328</v>
      </c>
      <c r="E22" s="398" t="s">
        <v>1294</v>
      </c>
      <c r="F22" s="398" t="s">
        <v>1267</v>
      </c>
      <c r="G22" s="398"/>
      <c r="H22" s="398" t="s">
        <v>281</v>
      </c>
      <c r="I22" s="399"/>
      <c r="J22" s="131" t="str">
        <f t="shared" si="0"/>
        <v>13</v>
      </c>
    </row>
    <row r="23" spans="1:10" s="114" customFormat="1" ht="24" hidden="1" customHeight="1">
      <c r="A23" s="398">
        <v>22</v>
      </c>
      <c r="B23" s="132" t="s">
        <v>1434</v>
      </c>
      <c r="C23" s="439" t="s">
        <v>191</v>
      </c>
      <c r="D23" s="440" t="s">
        <v>331</v>
      </c>
      <c r="E23" s="398" t="s">
        <v>1435</v>
      </c>
      <c r="F23" s="398" t="s">
        <v>1267</v>
      </c>
      <c r="G23" s="400"/>
      <c r="H23" s="398" t="s">
        <v>281</v>
      </c>
      <c r="I23" s="399" t="s">
        <v>955</v>
      </c>
      <c r="J23" s="131" t="str">
        <f t="shared" si="0"/>
        <v>13</v>
      </c>
    </row>
    <row r="24" spans="1:10" s="114" customFormat="1" ht="24" hidden="1" customHeight="1">
      <c r="A24" s="398">
        <v>23</v>
      </c>
      <c r="B24" s="132" t="s">
        <v>1295</v>
      </c>
      <c r="C24" s="439" t="s">
        <v>1296</v>
      </c>
      <c r="D24" s="440" t="s">
        <v>333</v>
      </c>
      <c r="E24" s="398" t="s">
        <v>1297</v>
      </c>
      <c r="F24" s="398" t="s">
        <v>1267</v>
      </c>
      <c r="G24" s="398"/>
      <c r="H24" s="398" t="s">
        <v>486</v>
      </c>
      <c r="I24" s="399"/>
      <c r="J24" s="131" t="str">
        <f t="shared" si="0"/>
        <v>13</v>
      </c>
    </row>
    <row r="25" spans="1:10" s="114" customFormat="1" ht="24" hidden="1" customHeight="1">
      <c r="A25" s="398">
        <v>24</v>
      </c>
      <c r="B25" s="132" t="s">
        <v>1298</v>
      </c>
      <c r="C25" s="439" t="s">
        <v>1299</v>
      </c>
      <c r="D25" s="440" t="s">
        <v>335</v>
      </c>
      <c r="E25" s="398" t="s">
        <v>1300</v>
      </c>
      <c r="F25" s="398" t="s">
        <v>1267</v>
      </c>
      <c r="G25" s="400" t="s">
        <v>336</v>
      </c>
      <c r="H25" s="398" t="s">
        <v>281</v>
      </c>
      <c r="I25" s="399"/>
      <c r="J25" s="131" t="str">
        <f t="shared" si="0"/>
        <v>13</v>
      </c>
    </row>
    <row r="26" spans="1:10" s="115" customFormat="1" ht="24" hidden="1" customHeight="1">
      <c r="A26" s="398">
        <v>25</v>
      </c>
      <c r="B26" s="132" t="s">
        <v>1301</v>
      </c>
      <c r="C26" s="439" t="s">
        <v>1302</v>
      </c>
      <c r="D26" s="440" t="s">
        <v>337</v>
      </c>
      <c r="E26" s="398" t="s">
        <v>338</v>
      </c>
      <c r="F26" s="398" t="s">
        <v>1267</v>
      </c>
      <c r="G26" s="398"/>
      <c r="H26" s="398" t="s">
        <v>281</v>
      </c>
      <c r="I26" s="401"/>
      <c r="J26" s="131" t="str">
        <f t="shared" si="0"/>
        <v>13</v>
      </c>
    </row>
    <row r="27" spans="1:10" s="114" customFormat="1" ht="24" hidden="1" customHeight="1">
      <c r="A27" s="398">
        <v>26</v>
      </c>
      <c r="B27" s="132" t="s">
        <v>1436</v>
      </c>
      <c r="C27" s="439" t="s">
        <v>1437</v>
      </c>
      <c r="D27" s="440" t="s">
        <v>413</v>
      </c>
      <c r="E27" s="398" t="s">
        <v>1438</v>
      </c>
      <c r="F27" s="398" t="s">
        <v>1267</v>
      </c>
      <c r="G27" s="398"/>
      <c r="H27" s="398" t="s">
        <v>281</v>
      </c>
      <c r="I27" s="399" t="s">
        <v>955</v>
      </c>
      <c r="J27" s="131" t="str">
        <f t="shared" si="0"/>
        <v>13</v>
      </c>
    </row>
    <row r="28" spans="1:10" s="114" customFormat="1" ht="24" hidden="1" customHeight="1">
      <c r="A28" s="398">
        <v>27</v>
      </c>
      <c r="B28" s="132" t="s">
        <v>1303</v>
      </c>
      <c r="C28" s="439" t="s">
        <v>1304</v>
      </c>
      <c r="D28" s="440" t="s">
        <v>215</v>
      </c>
      <c r="E28" s="398" t="s">
        <v>1305</v>
      </c>
      <c r="F28" s="398" t="s">
        <v>1267</v>
      </c>
      <c r="G28" s="398"/>
      <c r="H28" s="398" t="s">
        <v>281</v>
      </c>
      <c r="I28" s="399"/>
      <c r="J28" s="131" t="str">
        <f t="shared" si="0"/>
        <v>13</v>
      </c>
    </row>
    <row r="29" spans="1:10" s="114" customFormat="1" ht="24" hidden="1" customHeight="1">
      <c r="A29" s="398">
        <v>28</v>
      </c>
      <c r="B29" s="132" t="s">
        <v>1439</v>
      </c>
      <c r="C29" s="439" t="s">
        <v>1440</v>
      </c>
      <c r="D29" s="440" t="s">
        <v>341</v>
      </c>
      <c r="E29" s="398" t="s">
        <v>327</v>
      </c>
      <c r="F29" s="398" t="s">
        <v>1267</v>
      </c>
      <c r="G29" s="398"/>
      <c r="H29" s="398" t="s">
        <v>281</v>
      </c>
      <c r="I29" s="399" t="s">
        <v>955</v>
      </c>
      <c r="J29" s="131" t="str">
        <f t="shared" si="0"/>
        <v>13</v>
      </c>
    </row>
    <row r="30" spans="1:10" s="114" customFormat="1" ht="24" hidden="1" customHeight="1">
      <c r="A30" s="398">
        <v>29</v>
      </c>
      <c r="B30" s="132" t="s">
        <v>1306</v>
      </c>
      <c r="C30" s="439" t="s">
        <v>342</v>
      </c>
      <c r="D30" s="440" t="s">
        <v>1307</v>
      </c>
      <c r="E30" s="398" t="s">
        <v>290</v>
      </c>
      <c r="F30" s="398" t="s">
        <v>1267</v>
      </c>
      <c r="G30" s="398"/>
      <c r="H30" s="398" t="s">
        <v>281</v>
      </c>
      <c r="I30" s="399"/>
      <c r="J30" s="131" t="str">
        <f t="shared" si="0"/>
        <v>13</v>
      </c>
    </row>
    <row r="31" spans="1:10" s="114" customFormat="1" ht="24" hidden="1" customHeight="1">
      <c r="A31" s="398">
        <v>30</v>
      </c>
      <c r="B31" s="132" t="s">
        <v>1441</v>
      </c>
      <c r="C31" s="439" t="s">
        <v>1442</v>
      </c>
      <c r="D31" s="440" t="s">
        <v>343</v>
      </c>
      <c r="E31" s="398" t="s">
        <v>1443</v>
      </c>
      <c r="F31" s="398" t="s">
        <v>1267</v>
      </c>
      <c r="G31" s="398"/>
      <c r="H31" s="398" t="s">
        <v>281</v>
      </c>
      <c r="I31" s="399" t="s">
        <v>955</v>
      </c>
      <c r="J31" s="131" t="str">
        <f t="shared" si="0"/>
        <v>13</v>
      </c>
    </row>
    <row r="32" spans="1:10" s="114" customFormat="1" ht="24" hidden="1" customHeight="1">
      <c r="A32" s="398">
        <v>31</v>
      </c>
      <c r="B32" s="132" t="s">
        <v>1308</v>
      </c>
      <c r="C32" s="439" t="s">
        <v>1309</v>
      </c>
      <c r="D32" s="440" t="s">
        <v>343</v>
      </c>
      <c r="E32" s="398" t="s">
        <v>1310</v>
      </c>
      <c r="F32" s="398" t="s">
        <v>1267</v>
      </c>
      <c r="G32" s="398"/>
      <c r="H32" s="398" t="s">
        <v>281</v>
      </c>
      <c r="I32" s="402"/>
      <c r="J32" s="131" t="str">
        <f t="shared" si="0"/>
        <v>13</v>
      </c>
    </row>
    <row r="33" spans="1:10" s="114" customFormat="1" ht="24" hidden="1" customHeight="1">
      <c r="A33" s="398">
        <v>32</v>
      </c>
      <c r="B33" s="132" t="s">
        <v>1311</v>
      </c>
      <c r="C33" s="439" t="s">
        <v>193</v>
      </c>
      <c r="D33" s="440" t="s">
        <v>217</v>
      </c>
      <c r="E33" s="398" t="s">
        <v>1312</v>
      </c>
      <c r="F33" s="398" t="s">
        <v>1267</v>
      </c>
      <c r="G33" s="398" t="s">
        <v>283</v>
      </c>
      <c r="H33" s="398" t="s">
        <v>281</v>
      </c>
      <c r="I33" s="399"/>
      <c r="J33" s="131" t="str">
        <f t="shared" si="0"/>
        <v>13</v>
      </c>
    </row>
    <row r="34" spans="1:10" s="114" customFormat="1" ht="24" hidden="1" customHeight="1">
      <c r="A34" s="398">
        <v>33</v>
      </c>
      <c r="B34" s="132" t="s">
        <v>1313</v>
      </c>
      <c r="C34" s="439" t="s">
        <v>1314</v>
      </c>
      <c r="D34" s="440" t="s">
        <v>344</v>
      </c>
      <c r="E34" s="398" t="s">
        <v>345</v>
      </c>
      <c r="F34" s="398" t="s">
        <v>1267</v>
      </c>
      <c r="G34" s="398"/>
      <c r="H34" s="398" t="s">
        <v>281</v>
      </c>
      <c r="I34" s="399"/>
      <c r="J34" s="131" t="str">
        <f t="shared" si="0"/>
        <v>13</v>
      </c>
    </row>
    <row r="35" spans="1:10" s="114" customFormat="1" ht="24" hidden="1" customHeight="1">
      <c r="A35" s="398">
        <v>34</v>
      </c>
      <c r="B35" s="132" t="s">
        <v>1444</v>
      </c>
      <c r="C35" s="439" t="s">
        <v>1445</v>
      </c>
      <c r="D35" s="440" t="s">
        <v>383</v>
      </c>
      <c r="E35" s="398" t="s">
        <v>1446</v>
      </c>
      <c r="F35" s="398" t="s">
        <v>1267</v>
      </c>
      <c r="G35" s="398"/>
      <c r="H35" s="398" t="s">
        <v>281</v>
      </c>
      <c r="I35" s="399" t="s">
        <v>957</v>
      </c>
      <c r="J35" s="131" t="str">
        <f t="shared" si="0"/>
        <v>13</v>
      </c>
    </row>
    <row r="36" spans="1:10" s="114" customFormat="1" ht="24" hidden="1" customHeight="1">
      <c r="A36" s="398">
        <v>35</v>
      </c>
      <c r="B36" s="132" t="s">
        <v>1315</v>
      </c>
      <c r="C36" s="439" t="s">
        <v>346</v>
      </c>
      <c r="D36" s="440" t="s">
        <v>1316</v>
      </c>
      <c r="E36" s="398" t="s">
        <v>1317</v>
      </c>
      <c r="F36" s="398" t="s">
        <v>1267</v>
      </c>
      <c r="G36" s="398"/>
      <c r="H36" s="398" t="s">
        <v>281</v>
      </c>
      <c r="I36" s="399"/>
      <c r="J36" s="131" t="str">
        <f t="shared" si="0"/>
        <v>13</v>
      </c>
    </row>
    <row r="37" spans="1:10" s="114" customFormat="1" ht="24" hidden="1" customHeight="1">
      <c r="A37" s="398">
        <v>36</v>
      </c>
      <c r="B37" s="132" t="s">
        <v>1447</v>
      </c>
      <c r="C37" s="439" t="s">
        <v>1448</v>
      </c>
      <c r="D37" s="440" t="s">
        <v>347</v>
      </c>
      <c r="E37" s="398" t="s">
        <v>1449</v>
      </c>
      <c r="F37" s="398" t="s">
        <v>1267</v>
      </c>
      <c r="G37" s="398"/>
      <c r="H37" s="398" t="s">
        <v>281</v>
      </c>
      <c r="I37" s="399" t="s">
        <v>955</v>
      </c>
      <c r="J37" s="131" t="str">
        <f t="shared" si="0"/>
        <v>13</v>
      </c>
    </row>
    <row r="38" spans="1:10" s="114" customFormat="1" ht="24" hidden="1" customHeight="1">
      <c r="A38" s="398">
        <v>37</v>
      </c>
      <c r="B38" s="132" t="s">
        <v>1318</v>
      </c>
      <c r="C38" s="439" t="s">
        <v>191</v>
      </c>
      <c r="D38" s="440" t="s">
        <v>347</v>
      </c>
      <c r="E38" s="398" t="s">
        <v>348</v>
      </c>
      <c r="F38" s="398" t="s">
        <v>1267</v>
      </c>
      <c r="G38" s="398"/>
      <c r="H38" s="398" t="s">
        <v>281</v>
      </c>
      <c r="I38" s="399"/>
      <c r="J38" s="131" t="str">
        <f t="shared" si="0"/>
        <v>13</v>
      </c>
    </row>
    <row r="39" spans="1:10" s="114" customFormat="1" ht="24" hidden="1" customHeight="1">
      <c r="A39" s="398">
        <v>38</v>
      </c>
      <c r="B39" s="132" t="s">
        <v>1450</v>
      </c>
      <c r="C39" s="439" t="s">
        <v>416</v>
      </c>
      <c r="D39" s="440" t="s">
        <v>1451</v>
      </c>
      <c r="E39" s="398" t="s">
        <v>1452</v>
      </c>
      <c r="F39" s="398" t="s">
        <v>1267</v>
      </c>
      <c r="G39" s="400"/>
      <c r="H39" s="398" t="s">
        <v>281</v>
      </c>
      <c r="I39" s="399" t="s">
        <v>955</v>
      </c>
      <c r="J39" s="131" t="str">
        <f t="shared" si="0"/>
        <v>13</v>
      </c>
    </row>
    <row r="40" spans="1:10" s="114" customFormat="1" ht="24" hidden="1" customHeight="1">
      <c r="A40" s="398">
        <v>39</v>
      </c>
      <c r="B40" s="132" t="s">
        <v>1453</v>
      </c>
      <c r="C40" s="439" t="s">
        <v>1461</v>
      </c>
      <c r="D40" s="440" t="s">
        <v>220</v>
      </c>
      <c r="E40" s="398" t="s">
        <v>1275</v>
      </c>
      <c r="F40" s="398" t="s">
        <v>1267</v>
      </c>
      <c r="G40" s="398"/>
      <c r="H40" s="398" t="s">
        <v>281</v>
      </c>
      <c r="I40" s="399" t="s">
        <v>955</v>
      </c>
      <c r="J40" s="131" t="str">
        <f t="shared" si="0"/>
        <v>13</v>
      </c>
    </row>
    <row r="41" spans="1:10" s="114" customFormat="1" ht="24" hidden="1" customHeight="1">
      <c r="A41" s="398">
        <v>40</v>
      </c>
      <c r="B41" s="132" t="s">
        <v>1462</v>
      </c>
      <c r="C41" s="439" t="s">
        <v>1463</v>
      </c>
      <c r="D41" s="440" t="s">
        <v>223</v>
      </c>
      <c r="E41" s="398" t="s">
        <v>407</v>
      </c>
      <c r="F41" s="398" t="s">
        <v>1267</v>
      </c>
      <c r="G41" s="398"/>
      <c r="H41" s="398" t="s">
        <v>486</v>
      </c>
      <c r="I41" s="399" t="s">
        <v>955</v>
      </c>
      <c r="J41" s="131" t="str">
        <f t="shared" si="0"/>
        <v>13</v>
      </c>
    </row>
    <row r="42" spans="1:10" s="114" customFormat="1" ht="24" hidden="1" customHeight="1">
      <c r="A42" s="398">
        <v>41</v>
      </c>
      <c r="B42" s="132" t="s">
        <v>1319</v>
      </c>
      <c r="C42" s="439" t="s">
        <v>1320</v>
      </c>
      <c r="D42" s="440" t="s">
        <v>350</v>
      </c>
      <c r="E42" s="398" t="s">
        <v>1321</v>
      </c>
      <c r="F42" s="398" t="s">
        <v>1267</v>
      </c>
      <c r="G42" s="400" t="s">
        <v>330</v>
      </c>
      <c r="H42" s="398" t="s">
        <v>486</v>
      </c>
      <c r="I42" s="399"/>
      <c r="J42" s="131" t="str">
        <f t="shared" si="0"/>
        <v>13</v>
      </c>
    </row>
    <row r="43" spans="1:10" s="114" customFormat="1" ht="24" hidden="1" customHeight="1">
      <c r="A43" s="398">
        <v>42</v>
      </c>
      <c r="B43" s="132" t="s">
        <v>1464</v>
      </c>
      <c r="C43" s="439" t="s">
        <v>1465</v>
      </c>
      <c r="D43" s="440" t="s">
        <v>352</v>
      </c>
      <c r="E43" s="398" t="s">
        <v>355</v>
      </c>
      <c r="F43" s="398" t="s">
        <v>1267</v>
      </c>
      <c r="G43" s="398"/>
      <c r="H43" s="398" t="s">
        <v>281</v>
      </c>
      <c r="I43" s="399" t="s">
        <v>955</v>
      </c>
      <c r="J43" s="131" t="str">
        <f t="shared" si="0"/>
        <v>13</v>
      </c>
    </row>
    <row r="44" spans="1:10" s="114" customFormat="1" ht="24" hidden="1" customHeight="1">
      <c r="A44" s="398">
        <v>43</v>
      </c>
      <c r="B44" s="132" t="s">
        <v>1322</v>
      </c>
      <c r="C44" s="439" t="s">
        <v>351</v>
      </c>
      <c r="D44" s="440" t="s">
        <v>352</v>
      </c>
      <c r="E44" s="398" t="s">
        <v>353</v>
      </c>
      <c r="F44" s="398" t="s">
        <v>1267</v>
      </c>
      <c r="G44" s="398"/>
      <c r="H44" s="398" t="s">
        <v>281</v>
      </c>
      <c r="I44" s="399"/>
      <c r="J44" s="131" t="str">
        <f t="shared" si="0"/>
        <v>13</v>
      </c>
    </row>
    <row r="45" spans="1:10" s="114" customFormat="1" ht="24" hidden="1" customHeight="1">
      <c r="A45" s="398">
        <v>44</v>
      </c>
      <c r="B45" s="132" t="s">
        <v>1466</v>
      </c>
      <c r="C45" s="439" t="s">
        <v>1467</v>
      </c>
      <c r="D45" s="440" t="s">
        <v>417</v>
      </c>
      <c r="E45" s="398" t="s">
        <v>393</v>
      </c>
      <c r="F45" s="398" t="s">
        <v>1267</v>
      </c>
      <c r="G45" s="398"/>
      <c r="H45" s="398" t="s">
        <v>281</v>
      </c>
      <c r="I45" s="399" t="s">
        <v>955</v>
      </c>
      <c r="J45" s="131" t="str">
        <f t="shared" si="0"/>
        <v>13</v>
      </c>
    </row>
    <row r="46" spans="1:10" s="114" customFormat="1" ht="24" hidden="1" customHeight="1">
      <c r="A46" s="398">
        <v>45</v>
      </c>
      <c r="B46" s="132" t="s">
        <v>1323</v>
      </c>
      <c r="C46" s="439" t="s">
        <v>195</v>
      </c>
      <c r="D46" s="440" t="s">
        <v>1324</v>
      </c>
      <c r="E46" s="398" t="s">
        <v>1325</v>
      </c>
      <c r="F46" s="398" t="s">
        <v>1267</v>
      </c>
      <c r="G46" s="398"/>
      <c r="H46" s="398" t="s">
        <v>281</v>
      </c>
      <c r="I46" s="399"/>
      <c r="J46" s="131" t="str">
        <f t="shared" si="0"/>
        <v>13</v>
      </c>
    </row>
    <row r="47" spans="1:10" s="114" customFormat="1" ht="24" hidden="1" customHeight="1">
      <c r="A47" s="398">
        <v>46</v>
      </c>
      <c r="B47" s="132" t="s">
        <v>1468</v>
      </c>
      <c r="C47" s="439" t="s">
        <v>1469</v>
      </c>
      <c r="D47" s="440" t="s">
        <v>391</v>
      </c>
      <c r="E47" s="398" t="s">
        <v>1470</v>
      </c>
      <c r="F47" s="398" t="s">
        <v>1267</v>
      </c>
      <c r="G47" s="398"/>
      <c r="H47" s="398" t="s">
        <v>486</v>
      </c>
      <c r="I47" s="399" t="s">
        <v>955</v>
      </c>
      <c r="J47" s="131" t="str">
        <f t="shared" si="0"/>
        <v>13</v>
      </c>
    </row>
    <row r="48" spans="1:10" s="114" customFormat="1" ht="24" hidden="1" customHeight="1">
      <c r="A48" s="398">
        <v>47</v>
      </c>
      <c r="B48" s="132" t="s">
        <v>1471</v>
      </c>
      <c r="C48" s="439" t="s">
        <v>1472</v>
      </c>
      <c r="D48" s="440" t="s">
        <v>228</v>
      </c>
      <c r="E48" s="398" t="s">
        <v>1473</v>
      </c>
      <c r="F48" s="398" t="s">
        <v>1267</v>
      </c>
      <c r="G48" s="400"/>
      <c r="H48" s="398" t="s">
        <v>281</v>
      </c>
      <c r="I48" s="399" t="s">
        <v>955</v>
      </c>
      <c r="J48" s="131" t="str">
        <f t="shared" si="0"/>
        <v>13</v>
      </c>
    </row>
    <row r="49" spans="1:10" s="114" customFormat="1" ht="24" hidden="1" customHeight="1">
      <c r="A49" s="398">
        <v>48</v>
      </c>
      <c r="B49" s="132" t="s">
        <v>1326</v>
      </c>
      <c r="C49" s="439" t="s">
        <v>1327</v>
      </c>
      <c r="D49" s="440" t="s">
        <v>1328</v>
      </c>
      <c r="E49" s="398" t="s">
        <v>1329</v>
      </c>
      <c r="F49" s="398" t="s">
        <v>1267</v>
      </c>
      <c r="G49" s="398"/>
      <c r="H49" s="398" t="s">
        <v>281</v>
      </c>
      <c r="I49" s="399"/>
      <c r="J49" s="131" t="str">
        <f t="shared" si="0"/>
        <v>13</v>
      </c>
    </row>
    <row r="50" spans="1:10" s="114" customFormat="1" ht="24" hidden="1" customHeight="1">
      <c r="A50" s="398">
        <v>49</v>
      </c>
      <c r="B50" s="403" t="s">
        <v>2607</v>
      </c>
      <c r="C50" s="439" t="s">
        <v>2608</v>
      </c>
      <c r="D50" s="440" t="s">
        <v>1038</v>
      </c>
      <c r="E50" s="398" t="s">
        <v>2609</v>
      </c>
      <c r="F50" s="398" t="s">
        <v>1267</v>
      </c>
      <c r="G50" s="400" t="s">
        <v>325</v>
      </c>
      <c r="H50" s="398" t="s">
        <v>281</v>
      </c>
      <c r="I50" s="404" t="s">
        <v>2610</v>
      </c>
      <c r="J50" s="131" t="str">
        <f t="shared" si="0"/>
        <v>13</v>
      </c>
    </row>
    <row r="51" spans="1:10" s="114" customFormat="1" ht="24" hidden="1" customHeight="1">
      <c r="A51" s="398">
        <v>50</v>
      </c>
      <c r="B51" s="132" t="s">
        <v>1474</v>
      </c>
      <c r="C51" s="439" t="s">
        <v>415</v>
      </c>
      <c r="D51" s="440" t="s">
        <v>418</v>
      </c>
      <c r="E51" s="398" t="s">
        <v>1475</v>
      </c>
      <c r="F51" s="398" t="s">
        <v>1267</v>
      </c>
      <c r="G51" s="398"/>
      <c r="H51" s="398" t="s">
        <v>281</v>
      </c>
      <c r="I51" s="399" t="s">
        <v>955</v>
      </c>
      <c r="J51" s="131" t="str">
        <f t="shared" si="0"/>
        <v>13</v>
      </c>
    </row>
    <row r="52" spans="1:10" s="114" customFormat="1" ht="24" hidden="1" customHeight="1">
      <c r="A52" s="398">
        <v>51</v>
      </c>
      <c r="B52" s="132" t="s">
        <v>1476</v>
      </c>
      <c r="C52" s="439" t="s">
        <v>1477</v>
      </c>
      <c r="D52" s="440" t="s">
        <v>354</v>
      </c>
      <c r="E52" s="398" t="s">
        <v>1443</v>
      </c>
      <c r="F52" s="398" t="s">
        <v>1267</v>
      </c>
      <c r="G52" s="398"/>
      <c r="H52" s="398" t="s">
        <v>281</v>
      </c>
      <c r="I52" s="399" t="s">
        <v>955</v>
      </c>
      <c r="J52" s="131" t="str">
        <f t="shared" si="0"/>
        <v>13</v>
      </c>
    </row>
    <row r="53" spans="1:10" s="114" customFormat="1" ht="24" hidden="1" customHeight="1">
      <c r="A53" s="398">
        <v>52</v>
      </c>
      <c r="B53" s="132" t="s">
        <v>1330</v>
      </c>
      <c r="C53" s="439" t="s">
        <v>193</v>
      </c>
      <c r="D53" s="440" t="s">
        <v>354</v>
      </c>
      <c r="E53" s="398" t="s">
        <v>1331</v>
      </c>
      <c r="F53" s="398" t="s">
        <v>1267</v>
      </c>
      <c r="G53" s="398"/>
      <c r="H53" s="398" t="s">
        <v>281</v>
      </c>
      <c r="I53" s="399"/>
      <c r="J53" s="131" t="str">
        <f t="shared" si="0"/>
        <v>13</v>
      </c>
    </row>
    <row r="54" spans="1:10" s="114" customFormat="1" ht="24" hidden="1" customHeight="1">
      <c r="A54" s="398">
        <v>53</v>
      </c>
      <c r="B54" s="132" t="s">
        <v>1478</v>
      </c>
      <c r="C54" s="439" t="s">
        <v>1479</v>
      </c>
      <c r="D54" s="440" t="s">
        <v>419</v>
      </c>
      <c r="E54" s="398" t="s">
        <v>290</v>
      </c>
      <c r="F54" s="398" t="s">
        <v>1267</v>
      </c>
      <c r="G54" s="398"/>
      <c r="H54" s="398" t="s">
        <v>281</v>
      </c>
      <c r="I54" s="399" t="s">
        <v>955</v>
      </c>
      <c r="J54" s="131" t="str">
        <f t="shared" si="0"/>
        <v>13</v>
      </c>
    </row>
    <row r="55" spans="1:10" s="114" customFormat="1" ht="24" hidden="1" customHeight="1">
      <c r="A55" s="398">
        <v>54</v>
      </c>
      <c r="B55" s="132" t="s">
        <v>1332</v>
      </c>
      <c r="C55" s="439" t="s">
        <v>232</v>
      </c>
      <c r="D55" s="440" t="s">
        <v>1333</v>
      </c>
      <c r="E55" s="398" t="s">
        <v>355</v>
      </c>
      <c r="F55" s="398" t="s">
        <v>1267</v>
      </c>
      <c r="G55" s="398"/>
      <c r="H55" s="398" t="s">
        <v>281</v>
      </c>
      <c r="I55" s="399"/>
      <c r="J55" s="131" t="str">
        <f t="shared" si="0"/>
        <v>13</v>
      </c>
    </row>
    <row r="56" spans="1:10" s="114" customFormat="1" ht="24" hidden="1" customHeight="1">
      <c r="A56" s="398">
        <v>55</v>
      </c>
      <c r="B56" s="132" t="s">
        <v>1480</v>
      </c>
      <c r="C56" s="439" t="s">
        <v>193</v>
      </c>
      <c r="D56" s="440" t="s">
        <v>231</v>
      </c>
      <c r="E56" s="398" t="s">
        <v>332</v>
      </c>
      <c r="F56" s="398" t="s">
        <v>1267</v>
      </c>
      <c r="G56" s="398"/>
      <c r="H56" s="398" t="s">
        <v>281</v>
      </c>
      <c r="I56" s="399" t="s">
        <v>955</v>
      </c>
      <c r="J56" s="131" t="str">
        <f t="shared" si="0"/>
        <v>13</v>
      </c>
    </row>
    <row r="57" spans="1:10" s="114" customFormat="1" ht="24" hidden="1" customHeight="1">
      <c r="A57" s="398">
        <v>56</v>
      </c>
      <c r="B57" s="132" t="s">
        <v>1481</v>
      </c>
      <c r="C57" s="439" t="s">
        <v>1391</v>
      </c>
      <c r="D57" s="440" t="s">
        <v>420</v>
      </c>
      <c r="E57" s="398" t="s">
        <v>407</v>
      </c>
      <c r="F57" s="398" t="s">
        <v>1267</v>
      </c>
      <c r="G57" s="398"/>
      <c r="H57" s="398" t="s">
        <v>281</v>
      </c>
      <c r="I57" s="399" t="s">
        <v>955</v>
      </c>
      <c r="J57" s="131" t="str">
        <f t="shared" si="0"/>
        <v>13</v>
      </c>
    </row>
    <row r="58" spans="1:10" s="114" customFormat="1" ht="24" hidden="1" customHeight="1">
      <c r="A58" s="398">
        <v>57</v>
      </c>
      <c r="B58" s="132" t="s">
        <v>1334</v>
      </c>
      <c r="C58" s="439" t="s">
        <v>1335</v>
      </c>
      <c r="D58" s="440" t="s">
        <v>359</v>
      </c>
      <c r="E58" s="398" t="s">
        <v>1336</v>
      </c>
      <c r="F58" s="398" t="s">
        <v>1267</v>
      </c>
      <c r="G58" s="400" t="s">
        <v>360</v>
      </c>
      <c r="H58" s="398" t="s">
        <v>281</v>
      </c>
      <c r="I58" s="399"/>
      <c r="J58" s="131" t="str">
        <f t="shared" si="0"/>
        <v>13</v>
      </c>
    </row>
    <row r="59" spans="1:10" s="114" customFormat="1" ht="24" hidden="1" customHeight="1">
      <c r="A59" s="398">
        <v>58</v>
      </c>
      <c r="B59" s="132" t="s">
        <v>1482</v>
      </c>
      <c r="C59" s="439" t="s">
        <v>1483</v>
      </c>
      <c r="D59" s="440" t="s">
        <v>233</v>
      </c>
      <c r="E59" s="398" t="s">
        <v>1403</v>
      </c>
      <c r="F59" s="398" t="s">
        <v>1267</v>
      </c>
      <c r="G59" s="398"/>
      <c r="H59" s="398" t="s">
        <v>281</v>
      </c>
      <c r="I59" s="399" t="s">
        <v>955</v>
      </c>
      <c r="J59" s="131" t="str">
        <f t="shared" si="0"/>
        <v>13</v>
      </c>
    </row>
    <row r="60" spans="1:10" s="115" customFormat="1" ht="24" hidden="1" customHeight="1">
      <c r="A60" s="398">
        <v>59</v>
      </c>
      <c r="B60" s="132" t="s">
        <v>1484</v>
      </c>
      <c r="C60" s="439" t="s">
        <v>421</v>
      </c>
      <c r="D60" s="440" t="s">
        <v>235</v>
      </c>
      <c r="E60" s="398" t="s">
        <v>1485</v>
      </c>
      <c r="F60" s="398" t="s">
        <v>1267</v>
      </c>
      <c r="G60" s="398"/>
      <c r="H60" s="398" t="s">
        <v>281</v>
      </c>
      <c r="I60" s="399" t="s">
        <v>956</v>
      </c>
      <c r="J60" s="131" t="str">
        <f t="shared" si="0"/>
        <v>13</v>
      </c>
    </row>
    <row r="61" spans="1:10" s="114" customFormat="1" ht="24" hidden="1" customHeight="1">
      <c r="A61" s="398">
        <v>60</v>
      </c>
      <c r="B61" s="132" t="s">
        <v>1337</v>
      </c>
      <c r="C61" s="439" t="s">
        <v>222</v>
      </c>
      <c r="D61" s="440" t="s">
        <v>236</v>
      </c>
      <c r="E61" s="398" t="s">
        <v>1338</v>
      </c>
      <c r="F61" s="398" t="s">
        <v>1267</v>
      </c>
      <c r="G61" s="398"/>
      <c r="H61" s="398" t="s">
        <v>281</v>
      </c>
      <c r="I61" s="401"/>
      <c r="J61" s="131" t="str">
        <f t="shared" si="0"/>
        <v>13</v>
      </c>
    </row>
    <row r="62" spans="1:10" s="114" customFormat="1" ht="24" hidden="1" customHeight="1">
      <c r="A62" s="398">
        <v>61</v>
      </c>
      <c r="B62" s="132" t="s">
        <v>1486</v>
      </c>
      <c r="C62" s="439" t="s">
        <v>1487</v>
      </c>
      <c r="D62" s="440" t="s">
        <v>400</v>
      </c>
      <c r="E62" s="398" t="s">
        <v>423</v>
      </c>
      <c r="F62" s="398" t="s">
        <v>1267</v>
      </c>
      <c r="G62" s="398"/>
      <c r="H62" s="398" t="s">
        <v>486</v>
      </c>
      <c r="I62" s="399" t="s">
        <v>955</v>
      </c>
      <c r="J62" s="131" t="str">
        <f t="shared" si="0"/>
        <v>13</v>
      </c>
    </row>
    <row r="63" spans="1:10" s="114" customFormat="1" ht="24" hidden="1" customHeight="1">
      <c r="A63" s="398">
        <v>62</v>
      </c>
      <c r="B63" s="132" t="s">
        <v>1339</v>
      </c>
      <c r="C63" s="439" t="s">
        <v>1340</v>
      </c>
      <c r="D63" s="440" t="s">
        <v>237</v>
      </c>
      <c r="E63" s="398" t="s">
        <v>361</v>
      </c>
      <c r="F63" s="398" t="s">
        <v>1267</v>
      </c>
      <c r="G63" s="398"/>
      <c r="H63" s="398" t="s">
        <v>281</v>
      </c>
      <c r="I63" s="399"/>
      <c r="J63" s="131" t="str">
        <f t="shared" si="0"/>
        <v>13</v>
      </c>
    </row>
    <row r="64" spans="1:10" s="114" customFormat="1" ht="24" hidden="1" customHeight="1">
      <c r="A64" s="398">
        <v>63</v>
      </c>
      <c r="B64" s="403" t="s">
        <v>2611</v>
      </c>
      <c r="C64" s="439" t="s">
        <v>2612</v>
      </c>
      <c r="D64" s="440" t="s">
        <v>2613</v>
      </c>
      <c r="E64" s="398" t="s">
        <v>748</v>
      </c>
      <c r="F64" s="398" t="s">
        <v>1267</v>
      </c>
      <c r="G64" s="400" t="s">
        <v>325</v>
      </c>
      <c r="H64" s="398" t="s">
        <v>281</v>
      </c>
      <c r="I64" s="405" t="s">
        <v>2614</v>
      </c>
      <c r="J64" s="131" t="str">
        <f t="shared" si="0"/>
        <v>13</v>
      </c>
    </row>
    <row r="65" spans="1:10" s="114" customFormat="1" ht="24" hidden="1" customHeight="1" thickBot="1">
      <c r="A65" s="406">
        <v>64</v>
      </c>
      <c r="B65" s="132" t="s">
        <v>1488</v>
      </c>
      <c r="C65" s="441" t="s">
        <v>195</v>
      </c>
      <c r="D65" s="442" t="s">
        <v>1489</v>
      </c>
      <c r="E65" s="406" t="s">
        <v>1490</v>
      </c>
      <c r="F65" s="406" t="s">
        <v>1267</v>
      </c>
      <c r="G65" s="406"/>
      <c r="H65" s="406" t="s">
        <v>281</v>
      </c>
      <c r="I65" s="407" t="s">
        <v>955</v>
      </c>
      <c r="J65" s="131" t="str">
        <f t="shared" si="0"/>
        <v>13</v>
      </c>
    </row>
    <row r="66" spans="1:10" s="114" customFormat="1" ht="24" hidden="1" customHeight="1">
      <c r="A66" s="408">
        <v>1</v>
      </c>
      <c r="B66" s="132" t="s">
        <v>1491</v>
      </c>
      <c r="C66" s="443" t="s">
        <v>1492</v>
      </c>
      <c r="D66" s="444" t="s">
        <v>362</v>
      </c>
      <c r="E66" s="408" t="s">
        <v>426</v>
      </c>
      <c r="F66" s="409" t="s">
        <v>1344</v>
      </c>
      <c r="G66" s="408"/>
      <c r="H66" s="408" t="s">
        <v>281</v>
      </c>
      <c r="I66" s="410" t="s">
        <v>958</v>
      </c>
      <c r="J66" s="131" t="str">
        <f t="shared" si="0"/>
        <v>13</v>
      </c>
    </row>
    <row r="67" spans="1:10" s="114" customFormat="1" ht="24" hidden="1" customHeight="1">
      <c r="A67" s="398">
        <v>2</v>
      </c>
      <c r="B67" s="132" t="s">
        <v>1341</v>
      </c>
      <c r="C67" s="439" t="s">
        <v>1342</v>
      </c>
      <c r="D67" s="440" t="s">
        <v>362</v>
      </c>
      <c r="E67" s="398" t="s">
        <v>1343</v>
      </c>
      <c r="F67" s="398" t="s">
        <v>1344</v>
      </c>
      <c r="G67" s="398"/>
      <c r="H67" s="398" t="s">
        <v>281</v>
      </c>
      <c r="I67" s="399"/>
      <c r="J67" s="131" t="str">
        <f t="shared" ref="J67:J130" si="1">LEFT(F67,2)</f>
        <v>13</v>
      </c>
    </row>
    <row r="68" spans="1:10" s="114" customFormat="1" ht="24" hidden="1" customHeight="1">
      <c r="A68" s="398">
        <v>3</v>
      </c>
      <c r="B68" s="132" t="s">
        <v>1493</v>
      </c>
      <c r="C68" s="439" t="s">
        <v>1494</v>
      </c>
      <c r="D68" s="440" t="s">
        <v>197</v>
      </c>
      <c r="E68" s="398" t="s">
        <v>1495</v>
      </c>
      <c r="F68" s="398" t="s">
        <v>1344</v>
      </c>
      <c r="G68" s="398"/>
      <c r="H68" s="398" t="s">
        <v>281</v>
      </c>
      <c r="I68" s="401" t="s">
        <v>958</v>
      </c>
      <c r="J68" s="131" t="str">
        <f t="shared" si="1"/>
        <v>13</v>
      </c>
    </row>
    <row r="69" spans="1:10" s="114" customFormat="1" ht="24" hidden="1" customHeight="1">
      <c r="A69" s="398">
        <v>4</v>
      </c>
      <c r="B69" s="132" t="s">
        <v>1497</v>
      </c>
      <c r="C69" s="439" t="s">
        <v>431</v>
      </c>
      <c r="D69" s="440" t="s">
        <v>432</v>
      </c>
      <c r="E69" s="398" t="s">
        <v>1498</v>
      </c>
      <c r="F69" s="398" t="s">
        <v>1344</v>
      </c>
      <c r="G69" s="398"/>
      <c r="H69" s="398" t="s">
        <v>281</v>
      </c>
      <c r="I69" s="401" t="s">
        <v>958</v>
      </c>
      <c r="J69" s="131" t="str">
        <f t="shared" si="1"/>
        <v>13</v>
      </c>
    </row>
    <row r="70" spans="1:10" s="114" customFormat="1" ht="24" hidden="1" customHeight="1">
      <c r="A70" s="398">
        <v>5</v>
      </c>
      <c r="B70" s="403" t="s">
        <v>2615</v>
      </c>
      <c r="C70" s="439" t="s">
        <v>2616</v>
      </c>
      <c r="D70" s="440" t="s">
        <v>1032</v>
      </c>
      <c r="E70" s="398" t="s">
        <v>2179</v>
      </c>
      <c r="F70" s="398" t="s">
        <v>1344</v>
      </c>
      <c r="G70" s="400" t="s">
        <v>325</v>
      </c>
      <c r="H70" s="398"/>
      <c r="I70" s="404" t="s">
        <v>2610</v>
      </c>
      <c r="J70" s="131" t="str">
        <f t="shared" si="1"/>
        <v>13</v>
      </c>
    </row>
    <row r="71" spans="1:10" s="114" customFormat="1" ht="24" hidden="1" customHeight="1">
      <c r="A71" s="398">
        <v>6</v>
      </c>
      <c r="B71" s="132" t="s">
        <v>1499</v>
      </c>
      <c r="C71" s="439" t="s">
        <v>209</v>
      </c>
      <c r="D71" s="440" t="s">
        <v>364</v>
      </c>
      <c r="E71" s="398" t="s">
        <v>401</v>
      </c>
      <c r="F71" s="398" t="s">
        <v>1344</v>
      </c>
      <c r="G71" s="398"/>
      <c r="H71" s="398" t="s">
        <v>281</v>
      </c>
      <c r="I71" s="401" t="s">
        <v>958</v>
      </c>
      <c r="J71" s="131" t="str">
        <f t="shared" si="1"/>
        <v>13</v>
      </c>
    </row>
    <row r="72" spans="1:10" s="114" customFormat="1" ht="24" hidden="1" customHeight="1">
      <c r="A72" s="398">
        <v>7</v>
      </c>
      <c r="B72" s="403" t="s">
        <v>2617</v>
      </c>
      <c r="C72" s="439" t="s">
        <v>382</v>
      </c>
      <c r="D72" s="440" t="s">
        <v>291</v>
      </c>
      <c r="E72" s="398" t="s">
        <v>2020</v>
      </c>
      <c r="F72" s="398" t="s">
        <v>1344</v>
      </c>
      <c r="G72" s="400" t="s">
        <v>325</v>
      </c>
      <c r="H72" s="398" t="s">
        <v>281</v>
      </c>
      <c r="I72" s="404" t="s">
        <v>2610</v>
      </c>
      <c r="J72" s="131" t="str">
        <f t="shared" si="1"/>
        <v>13</v>
      </c>
    </row>
    <row r="73" spans="1:10" s="114" customFormat="1" ht="24" hidden="1" customHeight="1">
      <c r="A73" s="398">
        <v>8</v>
      </c>
      <c r="B73" s="132" t="s">
        <v>959</v>
      </c>
      <c r="C73" s="439" t="s">
        <v>960</v>
      </c>
      <c r="D73" s="440" t="s">
        <v>363</v>
      </c>
      <c r="E73" s="398" t="s">
        <v>2462</v>
      </c>
      <c r="F73" s="398" t="s">
        <v>1344</v>
      </c>
      <c r="G73" s="400" t="s">
        <v>325</v>
      </c>
      <c r="H73" s="398" t="s">
        <v>281</v>
      </c>
      <c r="I73" s="411"/>
      <c r="J73" s="131" t="str">
        <f t="shared" si="1"/>
        <v>13</v>
      </c>
    </row>
    <row r="74" spans="1:10" s="114" customFormat="1" ht="24" hidden="1" customHeight="1">
      <c r="A74" s="398">
        <v>9</v>
      </c>
      <c r="B74" s="132" t="s">
        <v>1345</v>
      </c>
      <c r="C74" s="439" t="s">
        <v>234</v>
      </c>
      <c r="D74" s="440" t="s">
        <v>363</v>
      </c>
      <c r="E74" s="398" t="s">
        <v>1346</v>
      </c>
      <c r="F74" s="398" t="s">
        <v>1344</v>
      </c>
      <c r="G74" s="400"/>
      <c r="H74" s="398" t="s">
        <v>281</v>
      </c>
      <c r="I74" s="399"/>
      <c r="J74" s="131" t="str">
        <f t="shared" si="1"/>
        <v>13</v>
      </c>
    </row>
    <row r="75" spans="1:10" s="114" customFormat="1" ht="24" hidden="1" customHeight="1">
      <c r="A75" s="398">
        <v>10</v>
      </c>
      <c r="B75" s="132" t="s">
        <v>1544</v>
      </c>
      <c r="C75" s="439" t="s">
        <v>201</v>
      </c>
      <c r="D75" s="440" t="s">
        <v>363</v>
      </c>
      <c r="E75" s="398" t="s">
        <v>1545</v>
      </c>
      <c r="F75" s="398" t="s">
        <v>1344</v>
      </c>
      <c r="G75" s="412"/>
      <c r="H75" s="398" t="s">
        <v>486</v>
      </c>
      <c r="I75" s="401" t="s">
        <v>958</v>
      </c>
      <c r="J75" s="131" t="str">
        <f t="shared" si="1"/>
        <v>13</v>
      </c>
    </row>
    <row r="76" spans="1:10" s="114" customFormat="1" ht="24" hidden="1" customHeight="1">
      <c r="A76" s="398">
        <v>11</v>
      </c>
      <c r="B76" s="132" t="s">
        <v>1496</v>
      </c>
      <c r="C76" s="439" t="s">
        <v>429</v>
      </c>
      <c r="D76" s="440" t="s">
        <v>287</v>
      </c>
      <c r="E76" s="398" t="s">
        <v>430</v>
      </c>
      <c r="F76" s="398" t="s">
        <v>1344</v>
      </c>
      <c r="G76" s="398"/>
      <c r="H76" s="398" t="s">
        <v>281</v>
      </c>
      <c r="I76" s="401" t="s">
        <v>958</v>
      </c>
      <c r="J76" s="131" t="str">
        <f t="shared" si="1"/>
        <v>13</v>
      </c>
    </row>
    <row r="77" spans="1:10" s="114" customFormat="1" ht="24" hidden="1" customHeight="1">
      <c r="A77" s="398">
        <v>12</v>
      </c>
      <c r="B77" s="132" t="s">
        <v>1347</v>
      </c>
      <c r="C77" s="439" t="s">
        <v>365</v>
      </c>
      <c r="D77" s="440" t="s">
        <v>200</v>
      </c>
      <c r="E77" s="398" t="s">
        <v>1348</v>
      </c>
      <c r="F77" s="398" t="s">
        <v>1344</v>
      </c>
      <c r="G77" s="398"/>
      <c r="H77" s="398" t="s">
        <v>486</v>
      </c>
      <c r="I77" s="399"/>
      <c r="J77" s="131" t="str">
        <f t="shared" si="1"/>
        <v>13</v>
      </c>
    </row>
    <row r="78" spans="1:10" s="114" customFormat="1" ht="24" hidden="1" customHeight="1">
      <c r="A78" s="398">
        <v>13</v>
      </c>
      <c r="B78" s="132" t="s">
        <v>1500</v>
      </c>
      <c r="C78" s="439" t="s">
        <v>1501</v>
      </c>
      <c r="D78" s="440" t="s">
        <v>403</v>
      </c>
      <c r="E78" s="398" t="s">
        <v>434</v>
      </c>
      <c r="F78" s="398" t="s">
        <v>1344</v>
      </c>
      <c r="G78" s="398"/>
      <c r="H78" s="398" t="s">
        <v>281</v>
      </c>
      <c r="I78" s="401" t="s">
        <v>958</v>
      </c>
      <c r="J78" s="131" t="str">
        <f t="shared" si="1"/>
        <v>13</v>
      </c>
    </row>
    <row r="79" spans="1:10" s="114" customFormat="1" ht="24" hidden="1" customHeight="1">
      <c r="A79" s="398">
        <v>14</v>
      </c>
      <c r="B79" s="132" t="s">
        <v>1502</v>
      </c>
      <c r="C79" s="439" t="s">
        <v>1503</v>
      </c>
      <c r="D79" s="440" t="s">
        <v>366</v>
      </c>
      <c r="E79" s="398" t="s">
        <v>1504</v>
      </c>
      <c r="F79" s="398" t="s">
        <v>1344</v>
      </c>
      <c r="G79" s="398"/>
      <c r="H79" s="398" t="s">
        <v>281</v>
      </c>
      <c r="I79" s="401" t="s">
        <v>958</v>
      </c>
      <c r="J79" s="131" t="str">
        <f t="shared" si="1"/>
        <v>13</v>
      </c>
    </row>
    <row r="80" spans="1:10" s="114" customFormat="1" ht="24" hidden="1" customHeight="1">
      <c r="A80" s="398">
        <v>15</v>
      </c>
      <c r="B80" s="132" t="s">
        <v>1505</v>
      </c>
      <c r="C80" s="439" t="s">
        <v>1391</v>
      </c>
      <c r="D80" s="440" t="s">
        <v>366</v>
      </c>
      <c r="E80" s="398" t="s">
        <v>437</v>
      </c>
      <c r="F80" s="398" t="s">
        <v>1344</v>
      </c>
      <c r="G80" s="400" t="s">
        <v>330</v>
      </c>
      <c r="H80" s="398" t="s">
        <v>281</v>
      </c>
      <c r="I80" s="401" t="s">
        <v>958</v>
      </c>
      <c r="J80" s="131" t="str">
        <f t="shared" si="1"/>
        <v>13</v>
      </c>
    </row>
    <row r="81" spans="1:10" s="114" customFormat="1" ht="24" hidden="1" customHeight="1">
      <c r="A81" s="398">
        <v>16</v>
      </c>
      <c r="B81" s="132" t="s">
        <v>1349</v>
      </c>
      <c r="C81" s="439" t="s">
        <v>1350</v>
      </c>
      <c r="D81" s="440" t="s">
        <v>1351</v>
      </c>
      <c r="E81" s="398" t="s">
        <v>1352</v>
      </c>
      <c r="F81" s="398" t="s">
        <v>1344</v>
      </c>
      <c r="G81" s="400"/>
      <c r="H81" s="398" t="s">
        <v>281</v>
      </c>
      <c r="I81" s="399"/>
      <c r="J81" s="131" t="str">
        <f t="shared" si="1"/>
        <v>13</v>
      </c>
    </row>
    <row r="82" spans="1:10" s="114" customFormat="1" ht="24" hidden="1" customHeight="1">
      <c r="A82" s="398">
        <v>17</v>
      </c>
      <c r="B82" s="132" t="s">
        <v>1506</v>
      </c>
      <c r="C82" s="439" t="s">
        <v>1507</v>
      </c>
      <c r="D82" s="440" t="s">
        <v>404</v>
      </c>
      <c r="E82" s="398" t="s">
        <v>437</v>
      </c>
      <c r="F82" s="398" t="s">
        <v>1344</v>
      </c>
      <c r="G82" s="398"/>
      <c r="H82" s="398" t="s">
        <v>486</v>
      </c>
      <c r="I82" s="401" t="s">
        <v>958</v>
      </c>
      <c r="J82" s="131" t="str">
        <f t="shared" si="1"/>
        <v>13</v>
      </c>
    </row>
    <row r="83" spans="1:10" s="114" customFormat="1" ht="24" hidden="1" customHeight="1">
      <c r="A83" s="398">
        <v>18</v>
      </c>
      <c r="B83" s="132" t="s">
        <v>1508</v>
      </c>
      <c r="C83" s="439" t="s">
        <v>439</v>
      </c>
      <c r="D83" s="440" t="s">
        <v>404</v>
      </c>
      <c r="E83" s="398" t="s">
        <v>440</v>
      </c>
      <c r="F83" s="398" t="s">
        <v>1344</v>
      </c>
      <c r="G83" s="398"/>
      <c r="H83" s="398" t="s">
        <v>281</v>
      </c>
      <c r="I83" s="401" t="s">
        <v>958</v>
      </c>
      <c r="J83" s="131" t="str">
        <f t="shared" si="1"/>
        <v>13</v>
      </c>
    </row>
    <row r="84" spans="1:10" s="114" customFormat="1" ht="24" hidden="1" customHeight="1">
      <c r="A84" s="398">
        <v>19</v>
      </c>
      <c r="B84" s="132" t="s">
        <v>1353</v>
      </c>
      <c r="C84" s="439" t="s">
        <v>367</v>
      </c>
      <c r="D84" s="440" t="s">
        <v>1354</v>
      </c>
      <c r="E84" s="398" t="s">
        <v>368</v>
      </c>
      <c r="F84" s="398" t="s">
        <v>1344</v>
      </c>
      <c r="G84" s="398"/>
      <c r="H84" s="398" t="s">
        <v>281</v>
      </c>
      <c r="I84" s="399"/>
      <c r="J84" s="131" t="str">
        <f t="shared" si="1"/>
        <v>13</v>
      </c>
    </row>
    <row r="85" spans="1:10" s="114" customFormat="1" ht="24" hidden="1" customHeight="1">
      <c r="A85" s="398">
        <v>20</v>
      </c>
      <c r="B85" s="132" t="s">
        <v>1509</v>
      </c>
      <c r="C85" s="439" t="s">
        <v>1510</v>
      </c>
      <c r="D85" s="440" t="s">
        <v>441</v>
      </c>
      <c r="E85" s="398" t="s">
        <v>1511</v>
      </c>
      <c r="F85" s="398" t="s">
        <v>1344</v>
      </c>
      <c r="G85" s="398"/>
      <c r="H85" s="398" t="s">
        <v>486</v>
      </c>
      <c r="I85" s="401" t="s">
        <v>958</v>
      </c>
      <c r="J85" s="131" t="str">
        <f t="shared" si="1"/>
        <v>13</v>
      </c>
    </row>
    <row r="86" spans="1:10" s="114" customFormat="1" ht="24" hidden="1" customHeight="1">
      <c r="A86" s="398">
        <v>21</v>
      </c>
      <c r="B86" s="132" t="s">
        <v>1355</v>
      </c>
      <c r="C86" s="439" t="s">
        <v>1356</v>
      </c>
      <c r="D86" s="440" t="s">
        <v>293</v>
      </c>
      <c r="E86" s="398" t="s">
        <v>370</v>
      </c>
      <c r="F86" s="398" t="s">
        <v>1344</v>
      </c>
      <c r="G86" s="398"/>
      <c r="H86" s="398" t="s">
        <v>281</v>
      </c>
      <c r="I86" s="399"/>
      <c r="J86" s="131" t="str">
        <f t="shared" si="1"/>
        <v>13</v>
      </c>
    </row>
    <row r="87" spans="1:10" s="114" customFormat="1" ht="24" hidden="1" customHeight="1">
      <c r="A87" s="398">
        <v>22</v>
      </c>
      <c r="B87" s="132" t="s">
        <v>1357</v>
      </c>
      <c r="C87" s="439" t="s">
        <v>351</v>
      </c>
      <c r="D87" s="440" t="s">
        <v>1358</v>
      </c>
      <c r="E87" s="398" t="s">
        <v>1359</v>
      </c>
      <c r="F87" s="398" t="s">
        <v>1344</v>
      </c>
      <c r="G87" s="398"/>
      <c r="H87" s="398" t="s">
        <v>281</v>
      </c>
      <c r="I87" s="399"/>
      <c r="J87" s="131" t="str">
        <f t="shared" si="1"/>
        <v>13</v>
      </c>
    </row>
    <row r="88" spans="1:10" s="114" customFormat="1" ht="24" hidden="1" customHeight="1">
      <c r="A88" s="398">
        <v>23</v>
      </c>
      <c r="B88" s="132" t="s">
        <v>1360</v>
      </c>
      <c r="C88" s="439" t="s">
        <v>371</v>
      </c>
      <c r="D88" s="440" t="s">
        <v>295</v>
      </c>
      <c r="E88" s="398" t="s">
        <v>1305</v>
      </c>
      <c r="F88" s="398" t="s">
        <v>1344</v>
      </c>
      <c r="G88" s="398"/>
      <c r="H88" s="398" t="s">
        <v>281</v>
      </c>
      <c r="I88" s="399"/>
      <c r="J88" s="131" t="str">
        <f t="shared" si="1"/>
        <v>13</v>
      </c>
    </row>
    <row r="89" spans="1:10" s="114" customFormat="1" ht="24" hidden="1" customHeight="1">
      <c r="A89" s="398">
        <v>24</v>
      </c>
      <c r="B89" s="403" t="s">
        <v>2618</v>
      </c>
      <c r="C89" s="439" t="s">
        <v>2619</v>
      </c>
      <c r="D89" s="440" t="s">
        <v>295</v>
      </c>
      <c r="E89" s="398" t="s">
        <v>2620</v>
      </c>
      <c r="F89" s="398" t="s">
        <v>1344</v>
      </c>
      <c r="G89" s="400" t="s">
        <v>325</v>
      </c>
      <c r="H89" s="398" t="s">
        <v>281</v>
      </c>
      <c r="I89" s="404" t="s">
        <v>2610</v>
      </c>
      <c r="J89" s="131" t="str">
        <f t="shared" si="1"/>
        <v>13</v>
      </c>
    </row>
    <row r="90" spans="1:10" s="115" customFormat="1" ht="24" hidden="1" customHeight="1">
      <c r="A90" s="398">
        <v>25</v>
      </c>
      <c r="B90" s="132" t="s">
        <v>1361</v>
      </c>
      <c r="C90" s="439" t="s">
        <v>367</v>
      </c>
      <c r="D90" s="440" t="s">
        <v>373</v>
      </c>
      <c r="E90" s="398" t="s">
        <v>374</v>
      </c>
      <c r="F90" s="398" t="s">
        <v>1344</v>
      </c>
      <c r="G90" s="398"/>
      <c r="H90" s="398" t="s">
        <v>281</v>
      </c>
      <c r="I90" s="399"/>
      <c r="J90" s="131" t="str">
        <f t="shared" si="1"/>
        <v>13</v>
      </c>
    </row>
    <row r="91" spans="1:10" s="114" customFormat="1" ht="24" hidden="1" customHeight="1">
      <c r="A91" s="398">
        <v>26</v>
      </c>
      <c r="B91" s="132" t="s">
        <v>1362</v>
      </c>
      <c r="C91" s="439" t="s">
        <v>371</v>
      </c>
      <c r="D91" s="440" t="s">
        <v>375</v>
      </c>
      <c r="E91" s="398" t="s">
        <v>1363</v>
      </c>
      <c r="F91" s="398" t="s">
        <v>1344</v>
      </c>
      <c r="G91" s="398"/>
      <c r="H91" s="398" t="s">
        <v>281</v>
      </c>
      <c r="I91" s="399"/>
      <c r="J91" s="131" t="str">
        <f t="shared" si="1"/>
        <v>13</v>
      </c>
    </row>
    <row r="92" spans="1:10" s="114" customFormat="1" ht="24" hidden="1" customHeight="1">
      <c r="A92" s="398">
        <v>27</v>
      </c>
      <c r="B92" s="132" t="s">
        <v>1512</v>
      </c>
      <c r="C92" s="439" t="s">
        <v>411</v>
      </c>
      <c r="D92" s="440" t="s">
        <v>1513</v>
      </c>
      <c r="E92" s="398" t="s">
        <v>1514</v>
      </c>
      <c r="F92" s="398" t="s">
        <v>1344</v>
      </c>
      <c r="G92" s="400" t="s">
        <v>360</v>
      </c>
      <c r="H92" s="398" t="s">
        <v>281</v>
      </c>
      <c r="I92" s="401" t="s">
        <v>958</v>
      </c>
      <c r="J92" s="131" t="str">
        <f t="shared" si="1"/>
        <v>13</v>
      </c>
    </row>
    <row r="93" spans="1:10" s="114" customFormat="1" ht="24" hidden="1" customHeight="1">
      <c r="A93" s="398">
        <v>28</v>
      </c>
      <c r="B93" s="132" t="s">
        <v>1364</v>
      </c>
      <c r="C93" s="439" t="s">
        <v>1365</v>
      </c>
      <c r="D93" s="440" t="s">
        <v>376</v>
      </c>
      <c r="E93" s="398" t="s">
        <v>1366</v>
      </c>
      <c r="F93" s="398" t="s">
        <v>1344</v>
      </c>
      <c r="G93" s="398"/>
      <c r="H93" s="398" t="s">
        <v>281</v>
      </c>
      <c r="I93" s="399"/>
      <c r="J93" s="131" t="str">
        <f t="shared" si="1"/>
        <v>13</v>
      </c>
    </row>
    <row r="94" spans="1:10" s="114" customFormat="1" ht="24" hidden="1" customHeight="1">
      <c r="A94" s="398">
        <v>29</v>
      </c>
      <c r="B94" s="132" t="s">
        <v>1367</v>
      </c>
      <c r="C94" s="439" t="s">
        <v>282</v>
      </c>
      <c r="D94" s="440" t="s">
        <v>333</v>
      </c>
      <c r="E94" s="398" t="s">
        <v>1368</v>
      </c>
      <c r="F94" s="398" t="s">
        <v>1344</v>
      </c>
      <c r="G94" s="398"/>
      <c r="H94" s="398" t="s">
        <v>281</v>
      </c>
      <c r="I94" s="399"/>
      <c r="J94" s="131" t="str">
        <f t="shared" si="1"/>
        <v>13</v>
      </c>
    </row>
    <row r="95" spans="1:10" s="114" customFormat="1" ht="24" hidden="1" customHeight="1">
      <c r="A95" s="398">
        <v>30</v>
      </c>
      <c r="B95" s="132" t="s">
        <v>1369</v>
      </c>
      <c r="C95" s="439" t="s">
        <v>1370</v>
      </c>
      <c r="D95" s="440" t="s">
        <v>213</v>
      </c>
      <c r="E95" s="398" t="s">
        <v>1371</v>
      </c>
      <c r="F95" s="398" t="s">
        <v>1344</v>
      </c>
      <c r="G95" s="398"/>
      <c r="H95" s="398" t="s">
        <v>281</v>
      </c>
      <c r="I95" s="399"/>
      <c r="J95" s="131" t="str">
        <f t="shared" si="1"/>
        <v>13</v>
      </c>
    </row>
    <row r="96" spans="1:10" s="114" customFormat="1" ht="24" hidden="1" customHeight="1">
      <c r="A96" s="398">
        <v>31</v>
      </c>
      <c r="B96" s="132" t="s">
        <v>1372</v>
      </c>
      <c r="C96" s="439" t="s">
        <v>1373</v>
      </c>
      <c r="D96" s="440" t="s">
        <v>335</v>
      </c>
      <c r="E96" s="398" t="s">
        <v>286</v>
      </c>
      <c r="F96" s="398" t="s">
        <v>1344</v>
      </c>
      <c r="G96" s="398"/>
      <c r="H96" s="398" t="s">
        <v>281</v>
      </c>
      <c r="I96" s="399"/>
      <c r="J96" s="131" t="str">
        <f t="shared" si="1"/>
        <v>13</v>
      </c>
    </row>
    <row r="97" spans="1:10" s="114" customFormat="1" ht="24" hidden="1" customHeight="1">
      <c r="A97" s="398">
        <v>32</v>
      </c>
      <c r="B97" s="132" t="s">
        <v>1374</v>
      </c>
      <c r="C97" s="439" t="s">
        <v>1375</v>
      </c>
      <c r="D97" s="440" t="s">
        <v>377</v>
      </c>
      <c r="E97" s="398" t="s">
        <v>378</v>
      </c>
      <c r="F97" s="398" t="s">
        <v>1344</v>
      </c>
      <c r="G97" s="398"/>
      <c r="H97" s="398" t="s">
        <v>281</v>
      </c>
      <c r="I97" s="399"/>
      <c r="J97" s="131" t="str">
        <f t="shared" si="1"/>
        <v>13</v>
      </c>
    </row>
    <row r="98" spans="1:10" s="114" customFormat="1" ht="24" hidden="1" customHeight="1">
      <c r="A98" s="398">
        <v>33</v>
      </c>
      <c r="B98" s="132" t="s">
        <v>1376</v>
      </c>
      <c r="C98" s="439" t="s">
        <v>1377</v>
      </c>
      <c r="D98" s="440" t="s">
        <v>340</v>
      </c>
      <c r="E98" s="398" t="s">
        <v>379</v>
      </c>
      <c r="F98" s="398" t="s">
        <v>1344</v>
      </c>
      <c r="G98" s="398"/>
      <c r="H98" s="398" t="s">
        <v>281</v>
      </c>
      <c r="I98" s="399"/>
      <c r="J98" s="131" t="str">
        <f t="shared" si="1"/>
        <v>13</v>
      </c>
    </row>
    <row r="99" spans="1:10" s="114" customFormat="1" ht="24" hidden="1" customHeight="1">
      <c r="A99" s="398">
        <v>34</v>
      </c>
      <c r="B99" s="132" t="s">
        <v>1515</v>
      </c>
      <c r="C99" s="439" t="s">
        <v>1516</v>
      </c>
      <c r="D99" s="440" t="s">
        <v>341</v>
      </c>
      <c r="E99" s="398" t="s">
        <v>1517</v>
      </c>
      <c r="F99" s="398" t="s">
        <v>1344</v>
      </c>
      <c r="G99" s="398"/>
      <c r="H99" s="398" t="s">
        <v>281</v>
      </c>
      <c r="I99" s="401" t="s">
        <v>958</v>
      </c>
      <c r="J99" s="131" t="str">
        <f t="shared" si="1"/>
        <v>13</v>
      </c>
    </row>
    <row r="100" spans="1:10" s="114" customFormat="1" ht="24" hidden="1" customHeight="1">
      <c r="A100" s="398">
        <v>35</v>
      </c>
      <c r="B100" s="132" t="s">
        <v>1378</v>
      </c>
      <c r="C100" s="439" t="s">
        <v>1379</v>
      </c>
      <c r="D100" s="440" t="s">
        <v>341</v>
      </c>
      <c r="E100" s="398" t="s">
        <v>381</v>
      </c>
      <c r="F100" s="398" t="s">
        <v>1344</v>
      </c>
      <c r="G100" s="400"/>
      <c r="H100" s="398" t="s">
        <v>486</v>
      </c>
      <c r="I100" s="399"/>
      <c r="J100" s="131" t="str">
        <f t="shared" si="1"/>
        <v>13</v>
      </c>
    </row>
    <row r="101" spans="1:10" s="114" customFormat="1" ht="24" hidden="1" customHeight="1">
      <c r="A101" s="398">
        <v>36</v>
      </c>
      <c r="B101" s="132" t="s">
        <v>1380</v>
      </c>
      <c r="C101" s="439" t="s">
        <v>1381</v>
      </c>
      <c r="D101" s="440" t="s">
        <v>341</v>
      </c>
      <c r="E101" s="398" t="s">
        <v>1382</v>
      </c>
      <c r="F101" s="398" t="s">
        <v>1344</v>
      </c>
      <c r="G101" s="400" t="s">
        <v>336</v>
      </c>
      <c r="H101" s="398" t="s">
        <v>486</v>
      </c>
      <c r="I101" s="398"/>
      <c r="J101" s="131" t="str">
        <f t="shared" si="1"/>
        <v>13</v>
      </c>
    </row>
    <row r="102" spans="1:10" s="114" customFormat="1" ht="24" hidden="1" customHeight="1">
      <c r="A102" s="398">
        <v>37</v>
      </c>
      <c r="B102" s="132" t="s">
        <v>1383</v>
      </c>
      <c r="C102" s="439" t="s">
        <v>1384</v>
      </c>
      <c r="D102" s="440" t="s">
        <v>343</v>
      </c>
      <c r="E102" s="398" t="s">
        <v>1343</v>
      </c>
      <c r="F102" s="398" t="s">
        <v>1344</v>
      </c>
      <c r="G102" s="398"/>
      <c r="H102" s="398" t="s">
        <v>281</v>
      </c>
      <c r="I102" s="399"/>
      <c r="J102" s="131" t="str">
        <f t="shared" si="1"/>
        <v>13</v>
      </c>
    </row>
    <row r="103" spans="1:10" s="114" customFormat="1" ht="24" hidden="1" customHeight="1">
      <c r="A103" s="398">
        <v>38</v>
      </c>
      <c r="B103" s="132" t="s">
        <v>1518</v>
      </c>
      <c r="C103" s="439" t="s">
        <v>445</v>
      </c>
      <c r="D103" s="440" t="s">
        <v>343</v>
      </c>
      <c r="E103" s="398" t="s">
        <v>1519</v>
      </c>
      <c r="F103" s="398" t="s">
        <v>1344</v>
      </c>
      <c r="G103" s="398"/>
      <c r="H103" s="398" t="s">
        <v>281</v>
      </c>
      <c r="I103" s="401" t="s">
        <v>958</v>
      </c>
      <c r="J103" s="131" t="str">
        <f t="shared" si="1"/>
        <v>13</v>
      </c>
    </row>
    <row r="104" spans="1:10" s="114" customFormat="1" ht="24" hidden="1" customHeight="1">
      <c r="A104" s="398">
        <v>39</v>
      </c>
      <c r="B104" s="132" t="s">
        <v>1385</v>
      </c>
      <c r="C104" s="439" t="s">
        <v>382</v>
      </c>
      <c r="D104" s="440" t="s">
        <v>217</v>
      </c>
      <c r="E104" s="398" t="s">
        <v>1386</v>
      </c>
      <c r="F104" s="398" t="s">
        <v>1344</v>
      </c>
      <c r="G104" s="398"/>
      <c r="H104" s="398" t="s">
        <v>281</v>
      </c>
      <c r="I104" s="399"/>
      <c r="J104" s="131" t="str">
        <f t="shared" si="1"/>
        <v>13</v>
      </c>
    </row>
    <row r="105" spans="1:10" s="114" customFormat="1" ht="24" hidden="1" customHeight="1">
      <c r="A105" s="398">
        <v>40</v>
      </c>
      <c r="B105" s="132" t="s">
        <v>1387</v>
      </c>
      <c r="C105" s="439" t="s">
        <v>1388</v>
      </c>
      <c r="D105" s="440" t="s">
        <v>383</v>
      </c>
      <c r="E105" s="398" t="s">
        <v>1389</v>
      </c>
      <c r="F105" s="398" t="s">
        <v>1344</v>
      </c>
      <c r="G105" s="398"/>
      <c r="H105" s="398" t="s">
        <v>281</v>
      </c>
      <c r="I105" s="399"/>
      <c r="J105" s="131" t="str">
        <f t="shared" si="1"/>
        <v>13</v>
      </c>
    </row>
    <row r="106" spans="1:10" s="114" customFormat="1" ht="24" hidden="1" customHeight="1">
      <c r="A106" s="398">
        <v>41</v>
      </c>
      <c r="B106" s="132" t="s">
        <v>1520</v>
      </c>
      <c r="C106" s="439" t="s">
        <v>1521</v>
      </c>
      <c r="D106" s="440" t="s">
        <v>218</v>
      </c>
      <c r="E106" s="398" t="s">
        <v>423</v>
      </c>
      <c r="F106" s="398" t="s">
        <v>1344</v>
      </c>
      <c r="G106" s="398"/>
      <c r="H106" s="398" t="s">
        <v>281</v>
      </c>
      <c r="I106" s="401" t="s">
        <v>958</v>
      </c>
      <c r="J106" s="131" t="str">
        <f t="shared" si="1"/>
        <v>13</v>
      </c>
    </row>
    <row r="107" spans="1:10" s="114" customFormat="1" ht="24" hidden="1" customHeight="1">
      <c r="A107" s="398">
        <v>42</v>
      </c>
      <c r="B107" s="132" t="s">
        <v>1390</v>
      </c>
      <c r="C107" s="439" t="s">
        <v>1391</v>
      </c>
      <c r="D107" s="440" t="s">
        <v>384</v>
      </c>
      <c r="E107" s="398" t="s">
        <v>385</v>
      </c>
      <c r="F107" s="398" t="s">
        <v>1344</v>
      </c>
      <c r="G107" s="398"/>
      <c r="H107" s="398" t="s">
        <v>281</v>
      </c>
      <c r="I107" s="399"/>
      <c r="J107" s="131" t="str">
        <f t="shared" si="1"/>
        <v>13</v>
      </c>
    </row>
    <row r="108" spans="1:10" s="114" customFormat="1" ht="24" hidden="1" customHeight="1">
      <c r="A108" s="398">
        <v>43</v>
      </c>
      <c r="B108" s="132" t="s">
        <v>1392</v>
      </c>
      <c r="C108" s="439" t="s">
        <v>203</v>
      </c>
      <c r="D108" s="440" t="s">
        <v>220</v>
      </c>
      <c r="E108" s="398" t="s">
        <v>388</v>
      </c>
      <c r="F108" s="398" t="s">
        <v>1344</v>
      </c>
      <c r="G108" s="398"/>
      <c r="H108" s="398" t="s">
        <v>281</v>
      </c>
      <c r="I108" s="399" t="s">
        <v>2621</v>
      </c>
      <c r="J108" s="131" t="str">
        <f t="shared" si="1"/>
        <v>13</v>
      </c>
    </row>
    <row r="109" spans="1:10" s="114" customFormat="1" ht="24" hidden="1" customHeight="1">
      <c r="A109" s="398">
        <v>44</v>
      </c>
      <c r="B109" s="403" t="s">
        <v>2622</v>
      </c>
      <c r="C109" s="439" t="s">
        <v>198</v>
      </c>
      <c r="D109" s="440" t="s">
        <v>220</v>
      </c>
      <c r="E109" s="398" t="s">
        <v>2623</v>
      </c>
      <c r="F109" s="398" t="s">
        <v>1344</v>
      </c>
      <c r="G109" s="400" t="s">
        <v>325</v>
      </c>
      <c r="H109" s="398" t="s">
        <v>281</v>
      </c>
      <c r="I109" s="404" t="s">
        <v>2610</v>
      </c>
      <c r="J109" s="131" t="str">
        <f t="shared" si="1"/>
        <v>13</v>
      </c>
    </row>
    <row r="110" spans="1:10" s="114" customFormat="1" ht="24" hidden="1" customHeight="1">
      <c r="A110" s="398">
        <v>45</v>
      </c>
      <c r="B110" s="132" t="s">
        <v>1393</v>
      </c>
      <c r="C110" s="439" t="s">
        <v>282</v>
      </c>
      <c r="D110" s="440" t="s">
        <v>221</v>
      </c>
      <c r="E110" s="398" t="s">
        <v>389</v>
      </c>
      <c r="F110" s="398" t="s">
        <v>1344</v>
      </c>
      <c r="G110" s="398"/>
      <c r="H110" s="398" t="s">
        <v>281</v>
      </c>
      <c r="I110" s="399"/>
      <c r="J110" s="131" t="str">
        <f t="shared" si="1"/>
        <v>13</v>
      </c>
    </row>
    <row r="111" spans="1:10" s="114" customFormat="1" ht="24" hidden="1" customHeight="1">
      <c r="A111" s="398">
        <v>46</v>
      </c>
      <c r="B111" s="132" t="s">
        <v>1394</v>
      </c>
      <c r="C111" s="439" t="s">
        <v>193</v>
      </c>
      <c r="D111" s="440" t="s">
        <v>223</v>
      </c>
      <c r="E111" s="398" t="s">
        <v>390</v>
      </c>
      <c r="F111" s="398" t="s">
        <v>1344</v>
      </c>
      <c r="G111" s="398"/>
      <c r="H111" s="398" t="s">
        <v>281</v>
      </c>
      <c r="I111" s="399"/>
      <c r="J111" s="131" t="str">
        <f t="shared" si="1"/>
        <v>13</v>
      </c>
    </row>
    <row r="112" spans="1:10" s="114" customFormat="1" ht="24" hidden="1" customHeight="1">
      <c r="A112" s="398">
        <v>47</v>
      </c>
      <c r="B112" s="132" t="s">
        <v>1395</v>
      </c>
      <c r="C112" s="439" t="s">
        <v>191</v>
      </c>
      <c r="D112" s="440" t="s">
        <v>350</v>
      </c>
      <c r="E112" s="398" t="s">
        <v>1400</v>
      </c>
      <c r="F112" s="398" t="s">
        <v>1344</v>
      </c>
      <c r="G112" s="398"/>
      <c r="H112" s="398" t="s">
        <v>281</v>
      </c>
      <c r="I112" s="399"/>
      <c r="J112" s="131" t="str">
        <f t="shared" si="1"/>
        <v>13</v>
      </c>
    </row>
    <row r="113" spans="1:10" s="114" customFormat="1" ht="24" hidden="1" customHeight="1">
      <c r="A113" s="398">
        <v>48</v>
      </c>
      <c r="B113" s="132" t="s">
        <v>1522</v>
      </c>
      <c r="C113" s="439" t="s">
        <v>1523</v>
      </c>
      <c r="D113" s="440" t="s">
        <v>446</v>
      </c>
      <c r="E113" s="398" t="s">
        <v>1524</v>
      </c>
      <c r="F113" s="398" t="s">
        <v>1344</v>
      </c>
      <c r="G113" s="398"/>
      <c r="H113" s="398" t="s">
        <v>281</v>
      </c>
      <c r="I113" s="401" t="s">
        <v>958</v>
      </c>
      <c r="J113" s="131" t="str">
        <f t="shared" si="1"/>
        <v>13</v>
      </c>
    </row>
    <row r="114" spans="1:10" s="115" customFormat="1" ht="24" hidden="1" customHeight="1">
      <c r="A114" s="398">
        <v>49</v>
      </c>
      <c r="B114" s="132" t="s">
        <v>1401</v>
      </c>
      <c r="C114" s="439" t="s">
        <v>1402</v>
      </c>
      <c r="D114" s="440" t="s">
        <v>352</v>
      </c>
      <c r="E114" s="398" t="s">
        <v>1403</v>
      </c>
      <c r="F114" s="398" t="s">
        <v>1344</v>
      </c>
      <c r="G114" s="398"/>
      <c r="H114" s="398" t="s">
        <v>281</v>
      </c>
      <c r="I114" s="399"/>
      <c r="J114" s="131" t="str">
        <f t="shared" si="1"/>
        <v>13</v>
      </c>
    </row>
    <row r="115" spans="1:10" s="114" customFormat="1" ht="24" hidden="1" customHeight="1">
      <c r="A115" s="398">
        <v>50</v>
      </c>
      <c r="B115" s="132" t="s">
        <v>1404</v>
      </c>
      <c r="C115" s="439" t="s">
        <v>367</v>
      </c>
      <c r="D115" s="440" t="s">
        <v>228</v>
      </c>
      <c r="E115" s="398" t="s">
        <v>1405</v>
      </c>
      <c r="F115" s="398" t="s">
        <v>1344</v>
      </c>
      <c r="G115" s="400"/>
      <c r="H115" s="398" t="s">
        <v>486</v>
      </c>
      <c r="I115" s="399" t="s">
        <v>151</v>
      </c>
      <c r="J115" s="131" t="str">
        <f t="shared" si="1"/>
        <v>13</v>
      </c>
    </row>
    <row r="116" spans="1:10" s="115" customFormat="1" ht="24" hidden="1" customHeight="1">
      <c r="A116" s="398">
        <v>51</v>
      </c>
      <c r="B116" s="132" t="s">
        <v>1406</v>
      </c>
      <c r="C116" s="439" t="s">
        <v>392</v>
      </c>
      <c r="D116" s="440" t="s">
        <v>1407</v>
      </c>
      <c r="E116" s="398" t="s">
        <v>393</v>
      </c>
      <c r="F116" s="398" t="s">
        <v>1344</v>
      </c>
      <c r="G116" s="398"/>
      <c r="H116" s="398" t="s">
        <v>281</v>
      </c>
      <c r="I116" s="399"/>
      <c r="J116" s="131" t="str">
        <f t="shared" si="1"/>
        <v>13</v>
      </c>
    </row>
    <row r="117" spans="1:10" s="114" customFormat="1" ht="24" hidden="1" customHeight="1">
      <c r="A117" s="398">
        <v>52</v>
      </c>
      <c r="B117" s="132" t="s">
        <v>1525</v>
      </c>
      <c r="C117" s="439" t="s">
        <v>201</v>
      </c>
      <c r="D117" s="440" t="s">
        <v>1526</v>
      </c>
      <c r="E117" s="398" t="s">
        <v>1527</v>
      </c>
      <c r="F117" s="398" t="s">
        <v>1344</v>
      </c>
      <c r="G117" s="398"/>
      <c r="H117" s="398" t="s">
        <v>281</v>
      </c>
      <c r="I117" s="401" t="s">
        <v>958</v>
      </c>
      <c r="J117" s="131" t="str">
        <f t="shared" si="1"/>
        <v>13</v>
      </c>
    </row>
    <row r="118" spans="1:10" s="114" customFormat="1" ht="24" hidden="1" customHeight="1">
      <c r="A118" s="398">
        <v>53</v>
      </c>
      <c r="B118" s="132" t="s">
        <v>1408</v>
      </c>
      <c r="C118" s="439" t="s">
        <v>1409</v>
      </c>
      <c r="D118" s="440" t="s">
        <v>394</v>
      </c>
      <c r="E118" s="398" t="s">
        <v>1292</v>
      </c>
      <c r="F118" s="398" t="s">
        <v>1344</v>
      </c>
      <c r="G118" s="398"/>
      <c r="H118" s="398" t="s">
        <v>281</v>
      </c>
      <c r="I118" s="399"/>
      <c r="J118" s="131" t="str">
        <f t="shared" si="1"/>
        <v>13</v>
      </c>
    </row>
    <row r="119" spans="1:10" s="114" customFormat="1" ht="24" hidden="1" customHeight="1">
      <c r="A119" s="398">
        <v>54</v>
      </c>
      <c r="B119" s="132" t="s">
        <v>1528</v>
      </c>
      <c r="C119" s="439" t="s">
        <v>447</v>
      </c>
      <c r="D119" s="440" t="s">
        <v>1529</v>
      </c>
      <c r="E119" s="398" t="s">
        <v>1530</v>
      </c>
      <c r="F119" s="398" t="s">
        <v>1344</v>
      </c>
      <c r="G119" s="398"/>
      <c r="H119" s="398" t="s">
        <v>281</v>
      </c>
      <c r="I119" s="401" t="s">
        <v>958</v>
      </c>
      <c r="J119" s="131" t="str">
        <f t="shared" si="1"/>
        <v>13</v>
      </c>
    </row>
    <row r="120" spans="1:10" s="114" customFormat="1" ht="24" hidden="1" customHeight="1">
      <c r="A120" s="398">
        <v>55</v>
      </c>
      <c r="B120" s="132" t="s">
        <v>1410</v>
      </c>
      <c r="C120" s="439" t="s">
        <v>201</v>
      </c>
      <c r="D120" s="440" t="s">
        <v>397</v>
      </c>
      <c r="E120" s="398" t="s">
        <v>1411</v>
      </c>
      <c r="F120" s="398" t="s">
        <v>1344</v>
      </c>
      <c r="G120" s="398"/>
      <c r="H120" s="398" t="s">
        <v>281</v>
      </c>
      <c r="I120" s="399"/>
      <c r="J120" s="131" t="str">
        <f t="shared" si="1"/>
        <v>13</v>
      </c>
    </row>
    <row r="121" spans="1:10" s="114" customFormat="1" ht="24" hidden="1" customHeight="1">
      <c r="A121" s="398">
        <v>56</v>
      </c>
      <c r="B121" s="132" t="s">
        <v>1531</v>
      </c>
      <c r="C121" s="439" t="s">
        <v>1532</v>
      </c>
      <c r="D121" s="440" t="s">
        <v>420</v>
      </c>
      <c r="E121" s="398" t="s">
        <v>1533</v>
      </c>
      <c r="F121" s="398" t="s">
        <v>1344</v>
      </c>
      <c r="G121" s="398"/>
      <c r="H121" s="398" t="s">
        <v>486</v>
      </c>
      <c r="I121" s="401" t="s">
        <v>958</v>
      </c>
      <c r="J121" s="131" t="str">
        <f t="shared" si="1"/>
        <v>13</v>
      </c>
    </row>
    <row r="122" spans="1:10" s="115" customFormat="1" ht="24" hidden="1" customHeight="1">
      <c r="A122" s="398">
        <v>57</v>
      </c>
      <c r="B122" s="132" t="s">
        <v>1412</v>
      </c>
      <c r="C122" s="439" t="s">
        <v>342</v>
      </c>
      <c r="D122" s="440" t="s">
        <v>233</v>
      </c>
      <c r="E122" s="398" t="s">
        <v>1325</v>
      </c>
      <c r="F122" s="398" t="s">
        <v>1344</v>
      </c>
      <c r="G122" s="398"/>
      <c r="H122" s="398" t="s">
        <v>486</v>
      </c>
      <c r="I122" s="399"/>
      <c r="J122" s="131" t="str">
        <f t="shared" si="1"/>
        <v>13</v>
      </c>
    </row>
    <row r="123" spans="1:10" s="114" customFormat="1" ht="24" hidden="1" customHeight="1">
      <c r="A123" s="398">
        <v>58</v>
      </c>
      <c r="B123" s="132" t="s">
        <v>1534</v>
      </c>
      <c r="C123" s="439" t="s">
        <v>448</v>
      </c>
      <c r="D123" s="440" t="s">
        <v>235</v>
      </c>
      <c r="E123" s="398" t="s">
        <v>1535</v>
      </c>
      <c r="F123" s="398" t="s">
        <v>1344</v>
      </c>
      <c r="G123" s="400"/>
      <c r="H123" s="398" t="s">
        <v>281</v>
      </c>
      <c r="I123" s="401" t="s">
        <v>958</v>
      </c>
      <c r="J123" s="131" t="str">
        <f t="shared" si="1"/>
        <v>13</v>
      </c>
    </row>
    <row r="124" spans="1:10" s="114" customFormat="1" ht="24" hidden="1" customHeight="1">
      <c r="A124" s="398">
        <v>59</v>
      </c>
      <c r="B124" s="403" t="s">
        <v>2624</v>
      </c>
      <c r="C124" s="439" t="s">
        <v>2625</v>
      </c>
      <c r="D124" s="440" t="s">
        <v>235</v>
      </c>
      <c r="E124" s="398" t="s">
        <v>2626</v>
      </c>
      <c r="F124" s="398" t="s">
        <v>1344</v>
      </c>
      <c r="G124" s="400" t="s">
        <v>325</v>
      </c>
      <c r="H124" s="398" t="s">
        <v>281</v>
      </c>
      <c r="I124" s="405" t="s">
        <v>2627</v>
      </c>
      <c r="J124" s="131" t="str">
        <f t="shared" si="1"/>
        <v>13</v>
      </c>
    </row>
    <row r="125" spans="1:10" s="114" customFormat="1" ht="24" hidden="1" customHeight="1">
      <c r="A125" s="398">
        <v>60</v>
      </c>
      <c r="B125" s="132" t="s">
        <v>1413</v>
      </c>
      <c r="C125" s="439" t="s">
        <v>1414</v>
      </c>
      <c r="D125" s="440" t="s">
        <v>398</v>
      </c>
      <c r="E125" s="398" t="s">
        <v>399</v>
      </c>
      <c r="F125" s="398" t="s">
        <v>1344</v>
      </c>
      <c r="G125" s="398"/>
      <c r="H125" s="398" t="s">
        <v>281</v>
      </c>
      <c r="I125" s="399"/>
      <c r="J125" s="131" t="str">
        <f t="shared" si="1"/>
        <v>13</v>
      </c>
    </row>
    <row r="126" spans="1:10" s="114" customFormat="1" ht="24" hidden="1" customHeight="1">
      <c r="A126" s="398">
        <v>61</v>
      </c>
      <c r="B126" s="132" t="s">
        <v>1536</v>
      </c>
      <c r="C126" s="439" t="s">
        <v>1537</v>
      </c>
      <c r="D126" s="440" t="s">
        <v>400</v>
      </c>
      <c r="E126" s="398" t="s">
        <v>1538</v>
      </c>
      <c r="F126" s="398" t="s">
        <v>1344</v>
      </c>
      <c r="G126" s="398"/>
      <c r="H126" s="398" t="s">
        <v>281</v>
      </c>
      <c r="I126" s="399" t="s">
        <v>958</v>
      </c>
      <c r="J126" s="131" t="str">
        <f t="shared" si="1"/>
        <v>13</v>
      </c>
    </row>
    <row r="127" spans="1:10" s="114" customFormat="1" ht="24" hidden="1" customHeight="1">
      <c r="A127" s="398">
        <v>62</v>
      </c>
      <c r="B127" s="132" t="s">
        <v>1415</v>
      </c>
      <c r="C127" s="439" t="s">
        <v>227</v>
      </c>
      <c r="D127" s="440" t="s">
        <v>400</v>
      </c>
      <c r="E127" s="398" t="s">
        <v>1416</v>
      </c>
      <c r="F127" s="398" t="s">
        <v>1344</v>
      </c>
      <c r="G127" s="398"/>
      <c r="H127" s="398" t="s">
        <v>281</v>
      </c>
      <c r="I127" s="399"/>
      <c r="J127" s="131" t="str">
        <f t="shared" si="1"/>
        <v>13</v>
      </c>
    </row>
    <row r="128" spans="1:10" s="114" customFormat="1" ht="24" hidden="1" customHeight="1">
      <c r="A128" s="398">
        <v>63</v>
      </c>
      <c r="B128" s="132" t="s">
        <v>1539</v>
      </c>
      <c r="C128" s="439" t="s">
        <v>1540</v>
      </c>
      <c r="D128" s="440" t="s">
        <v>400</v>
      </c>
      <c r="E128" s="398" t="s">
        <v>414</v>
      </c>
      <c r="F128" s="398" t="s">
        <v>1344</v>
      </c>
      <c r="G128" s="398"/>
      <c r="H128" s="398" t="s">
        <v>281</v>
      </c>
      <c r="I128" s="401" t="s">
        <v>958</v>
      </c>
      <c r="J128" s="131" t="str">
        <f t="shared" si="1"/>
        <v>13</v>
      </c>
    </row>
    <row r="129" spans="1:10" s="114" customFormat="1" ht="24" hidden="1" customHeight="1">
      <c r="A129" s="398">
        <v>64</v>
      </c>
      <c r="B129" s="132" t="s">
        <v>1541</v>
      </c>
      <c r="C129" s="439" t="s">
        <v>1542</v>
      </c>
      <c r="D129" s="440" t="s">
        <v>237</v>
      </c>
      <c r="E129" s="398" t="s">
        <v>1543</v>
      </c>
      <c r="F129" s="398" t="s">
        <v>1344</v>
      </c>
      <c r="G129" s="398"/>
      <c r="H129" s="398" t="s">
        <v>281</v>
      </c>
      <c r="I129" s="401" t="s">
        <v>958</v>
      </c>
      <c r="J129" s="131" t="str">
        <f t="shared" si="1"/>
        <v>13</v>
      </c>
    </row>
    <row r="130" spans="1:10" s="115" customFormat="1" ht="24" hidden="1" customHeight="1" thickBot="1">
      <c r="A130" s="406">
        <v>65</v>
      </c>
      <c r="B130" s="132" t="s">
        <v>1546</v>
      </c>
      <c r="C130" s="441" t="s">
        <v>1547</v>
      </c>
      <c r="D130" s="442" t="s">
        <v>1548</v>
      </c>
      <c r="E130" s="406" t="s">
        <v>1549</v>
      </c>
      <c r="F130" s="406" t="s">
        <v>1344</v>
      </c>
      <c r="G130" s="413"/>
      <c r="H130" s="406" t="s">
        <v>281</v>
      </c>
      <c r="I130" s="414" t="s">
        <v>958</v>
      </c>
      <c r="J130" s="131" t="str">
        <f t="shared" si="1"/>
        <v>13</v>
      </c>
    </row>
    <row r="131" spans="1:10" s="114" customFormat="1" ht="24" customHeight="1">
      <c r="A131" s="408">
        <v>1</v>
      </c>
      <c r="B131" s="132" t="s">
        <v>1550</v>
      </c>
      <c r="C131" s="443" t="s">
        <v>1551</v>
      </c>
      <c r="D131" s="444" t="s">
        <v>279</v>
      </c>
      <c r="E131" s="408" t="s">
        <v>1552</v>
      </c>
      <c r="F131" s="409" t="s">
        <v>1553</v>
      </c>
      <c r="G131" s="408"/>
      <c r="H131" s="408" t="s">
        <v>486</v>
      </c>
      <c r="I131" s="415"/>
      <c r="J131" s="131" t="str">
        <f t="shared" ref="J131:J194" si="2">LEFT(F131,2)</f>
        <v>13</v>
      </c>
    </row>
    <row r="132" spans="1:10" s="115" customFormat="1" ht="24" customHeight="1">
      <c r="A132" s="398">
        <v>2</v>
      </c>
      <c r="B132" s="132" t="s">
        <v>1797</v>
      </c>
      <c r="C132" s="439" t="s">
        <v>1537</v>
      </c>
      <c r="D132" s="440" t="s">
        <v>985</v>
      </c>
      <c r="E132" s="398" t="s">
        <v>396</v>
      </c>
      <c r="F132" s="398" t="s">
        <v>1553</v>
      </c>
      <c r="G132" s="398"/>
      <c r="H132" s="398" t="s">
        <v>281</v>
      </c>
      <c r="I132" s="401" t="s">
        <v>961</v>
      </c>
      <c r="J132" s="131" t="str">
        <f t="shared" si="2"/>
        <v>13</v>
      </c>
    </row>
    <row r="133" spans="1:10" s="114" customFormat="1" ht="24" customHeight="1">
      <c r="A133" s="398">
        <v>3</v>
      </c>
      <c r="B133" s="132" t="s">
        <v>1798</v>
      </c>
      <c r="C133" s="439" t="s">
        <v>1018</v>
      </c>
      <c r="D133" s="440" t="s">
        <v>425</v>
      </c>
      <c r="E133" s="398" t="s">
        <v>1371</v>
      </c>
      <c r="F133" s="398" t="s">
        <v>1553</v>
      </c>
      <c r="G133" s="398"/>
      <c r="H133" s="398" t="s">
        <v>281</v>
      </c>
      <c r="I133" s="401" t="s">
        <v>961</v>
      </c>
      <c r="J133" s="131" t="str">
        <f t="shared" si="2"/>
        <v>13</v>
      </c>
    </row>
    <row r="134" spans="1:10" s="114" customFormat="1" ht="24" customHeight="1">
      <c r="A134" s="398">
        <v>4</v>
      </c>
      <c r="B134" s="132" t="s">
        <v>1799</v>
      </c>
      <c r="C134" s="439" t="s">
        <v>1800</v>
      </c>
      <c r="D134" s="440" t="s">
        <v>425</v>
      </c>
      <c r="E134" s="398" t="s">
        <v>1801</v>
      </c>
      <c r="F134" s="398" t="s">
        <v>1553</v>
      </c>
      <c r="G134" s="400"/>
      <c r="H134" s="398" t="s">
        <v>281</v>
      </c>
      <c r="I134" s="401" t="s">
        <v>961</v>
      </c>
      <c r="J134" s="131" t="str">
        <f t="shared" si="2"/>
        <v>13</v>
      </c>
    </row>
    <row r="135" spans="1:10" s="114" customFormat="1" ht="24" customHeight="1">
      <c r="A135" s="398">
        <v>5</v>
      </c>
      <c r="B135" s="132" t="s">
        <v>1554</v>
      </c>
      <c r="C135" s="439" t="s">
        <v>1555</v>
      </c>
      <c r="D135" s="440" t="s">
        <v>425</v>
      </c>
      <c r="E135" s="398" t="s">
        <v>1556</v>
      </c>
      <c r="F135" s="398" t="s">
        <v>1553</v>
      </c>
      <c r="G135" s="398"/>
      <c r="H135" s="398" t="s">
        <v>281</v>
      </c>
      <c r="I135" s="399"/>
      <c r="J135" s="131" t="str">
        <f t="shared" si="2"/>
        <v>13</v>
      </c>
    </row>
    <row r="136" spans="1:10" s="114" customFormat="1" ht="24" customHeight="1">
      <c r="A136" s="398">
        <v>6</v>
      </c>
      <c r="B136" s="132" t="s">
        <v>1557</v>
      </c>
      <c r="C136" s="439" t="s">
        <v>203</v>
      </c>
      <c r="D136" s="440" t="s">
        <v>362</v>
      </c>
      <c r="E136" s="398" t="s">
        <v>449</v>
      </c>
      <c r="F136" s="398" t="s">
        <v>1553</v>
      </c>
      <c r="G136" s="398"/>
      <c r="H136" s="398" t="s">
        <v>281</v>
      </c>
      <c r="I136" s="399"/>
      <c r="J136" s="131" t="str">
        <f t="shared" si="2"/>
        <v>13</v>
      </c>
    </row>
    <row r="137" spans="1:10" s="114" customFormat="1" ht="24" customHeight="1">
      <c r="A137" s="398">
        <v>7</v>
      </c>
      <c r="B137" s="132" t="s">
        <v>1802</v>
      </c>
      <c r="C137" s="439" t="s">
        <v>1019</v>
      </c>
      <c r="D137" s="440" t="s">
        <v>196</v>
      </c>
      <c r="E137" s="398" t="s">
        <v>1803</v>
      </c>
      <c r="F137" s="398" t="s">
        <v>1553</v>
      </c>
      <c r="G137" s="398"/>
      <c r="H137" s="398" t="s">
        <v>281</v>
      </c>
      <c r="I137" s="401" t="s">
        <v>961</v>
      </c>
      <c r="J137" s="131" t="str">
        <f t="shared" si="2"/>
        <v>13</v>
      </c>
    </row>
    <row r="138" spans="1:10" s="115" customFormat="1" ht="24" customHeight="1">
      <c r="A138" s="398">
        <v>8</v>
      </c>
      <c r="B138" s="132" t="s">
        <v>1558</v>
      </c>
      <c r="C138" s="439" t="s">
        <v>206</v>
      </c>
      <c r="D138" s="440" t="s">
        <v>1220</v>
      </c>
      <c r="E138" s="398" t="s">
        <v>1559</v>
      </c>
      <c r="F138" s="398" t="s">
        <v>1553</v>
      </c>
      <c r="G138" s="398"/>
      <c r="H138" s="398" t="s">
        <v>281</v>
      </c>
      <c r="I138" s="399"/>
      <c r="J138" s="131" t="str">
        <f t="shared" si="2"/>
        <v>13</v>
      </c>
    </row>
    <row r="139" spans="1:10" s="114" customFormat="1" ht="24" customHeight="1">
      <c r="A139" s="398">
        <v>9</v>
      </c>
      <c r="B139" s="132" t="s">
        <v>1804</v>
      </c>
      <c r="C139" s="439" t="s">
        <v>1020</v>
      </c>
      <c r="D139" s="440" t="s">
        <v>1805</v>
      </c>
      <c r="E139" s="398" t="s">
        <v>1806</v>
      </c>
      <c r="F139" s="398" t="s">
        <v>1553</v>
      </c>
      <c r="G139" s="398"/>
      <c r="H139" s="398" t="s">
        <v>281</v>
      </c>
      <c r="I139" s="401" t="s">
        <v>961</v>
      </c>
      <c r="J139" s="131" t="str">
        <f t="shared" si="2"/>
        <v>13</v>
      </c>
    </row>
    <row r="140" spans="1:10" s="114" customFormat="1" ht="24" customHeight="1">
      <c r="A140" s="398">
        <v>10</v>
      </c>
      <c r="B140" s="132" t="s">
        <v>1807</v>
      </c>
      <c r="C140" s="439" t="s">
        <v>1808</v>
      </c>
      <c r="D140" s="440" t="s">
        <v>1809</v>
      </c>
      <c r="E140" s="398" t="s">
        <v>1021</v>
      </c>
      <c r="F140" s="398" t="s">
        <v>1553</v>
      </c>
      <c r="G140" s="398"/>
      <c r="H140" s="398" t="s">
        <v>281</v>
      </c>
      <c r="I140" s="401" t="s">
        <v>961</v>
      </c>
      <c r="J140" s="131" t="str">
        <f t="shared" si="2"/>
        <v>13</v>
      </c>
    </row>
    <row r="141" spans="1:10" s="114" customFormat="1" ht="24" customHeight="1">
      <c r="A141" s="398">
        <v>11</v>
      </c>
      <c r="B141" s="132" t="s">
        <v>1560</v>
      </c>
      <c r="C141" s="439" t="s">
        <v>203</v>
      </c>
      <c r="D141" s="440" t="s">
        <v>197</v>
      </c>
      <c r="E141" s="398" t="s">
        <v>378</v>
      </c>
      <c r="F141" s="398" t="s">
        <v>1553</v>
      </c>
      <c r="G141" s="398"/>
      <c r="H141" s="398" t="s">
        <v>281</v>
      </c>
      <c r="I141" s="399"/>
      <c r="J141" s="131" t="str">
        <f t="shared" si="2"/>
        <v>13</v>
      </c>
    </row>
    <row r="142" spans="1:10" s="114" customFormat="1" ht="24" customHeight="1">
      <c r="A142" s="398">
        <v>12</v>
      </c>
      <c r="B142" s="132" t="s">
        <v>1563</v>
      </c>
      <c r="C142" s="439" t="s">
        <v>1564</v>
      </c>
      <c r="D142" s="440" t="s">
        <v>364</v>
      </c>
      <c r="E142" s="398" t="s">
        <v>1266</v>
      </c>
      <c r="F142" s="398" t="s">
        <v>1553</v>
      </c>
      <c r="G142" s="398"/>
      <c r="H142" s="398" t="s">
        <v>281</v>
      </c>
      <c r="I142" s="399"/>
      <c r="J142" s="131" t="str">
        <f t="shared" si="2"/>
        <v>13</v>
      </c>
    </row>
    <row r="143" spans="1:10" s="114" customFormat="1" ht="24" customHeight="1">
      <c r="A143" s="398">
        <v>13</v>
      </c>
      <c r="B143" s="132" t="s">
        <v>1565</v>
      </c>
      <c r="C143" s="439" t="s">
        <v>282</v>
      </c>
      <c r="D143" s="440" t="s">
        <v>199</v>
      </c>
      <c r="E143" s="398" t="s">
        <v>451</v>
      </c>
      <c r="F143" s="398" t="s">
        <v>1553</v>
      </c>
      <c r="G143" s="398"/>
      <c r="H143" s="398" t="s">
        <v>281</v>
      </c>
      <c r="I143" s="399"/>
      <c r="J143" s="131" t="str">
        <f t="shared" si="2"/>
        <v>13</v>
      </c>
    </row>
    <row r="144" spans="1:10" s="114" customFormat="1" ht="24" customHeight="1">
      <c r="A144" s="398">
        <v>14</v>
      </c>
      <c r="B144" s="132" t="s">
        <v>1810</v>
      </c>
      <c r="C144" s="439" t="s">
        <v>1811</v>
      </c>
      <c r="D144" s="440" t="s">
        <v>1812</v>
      </c>
      <c r="E144" s="398" t="s">
        <v>1559</v>
      </c>
      <c r="F144" s="398" t="s">
        <v>1553</v>
      </c>
      <c r="G144" s="400"/>
      <c r="H144" s="398" t="s">
        <v>281</v>
      </c>
      <c r="I144" s="401" t="s">
        <v>961</v>
      </c>
      <c r="J144" s="131" t="str">
        <f t="shared" si="2"/>
        <v>13</v>
      </c>
    </row>
    <row r="145" spans="1:10" s="114" customFormat="1" ht="24" customHeight="1">
      <c r="A145" s="398">
        <v>15</v>
      </c>
      <c r="B145" s="132" t="s">
        <v>1821</v>
      </c>
      <c r="C145" s="439" t="s">
        <v>1822</v>
      </c>
      <c r="D145" s="440" t="s">
        <v>291</v>
      </c>
      <c r="E145" s="398" t="s">
        <v>1823</v>
      </c>
      <c r="F145" s="398" t="s">
        <v>1553</v>
      </c>
      <c r="G145" s="398"/>
      <c r="H145" s="398" t="s">
        <v>281</v>
      </c>
      <c r="I145" s="401" t="s">
        <v>961</v>
      </c>
      <c r="J145" s="131" t="str">
        <f t="shared" si="2"/>
        <v>13</v>
      </c>
    </row>
    <row r="146" spans="1:10" s="114" customFormat="1" ht="24" customHeight="1">
      <c r="A146" s="398">
        <v>16</v>
      </c>
      <c r="B146" s="132" t="s">
        <v>1824</v>
      </c>
      <c r="C146" s="439" t="s">
        <v>201</v>
      </c>
      <c r="D146" s="440" t="s">
        <v>291</v>
      </c>
      <c r="E146" s="398" t="s">
        <v>1825</v>
      </c>
      <c r="F146" s="398" t="s">
        <v>1553</v>
      </c>
      <c r="G146" s="398"/>
      <c r="H146" s="398" t="s">
        <v>281</v>
      </c>
      <c r="I146" s="401" t="s">
        <v>961</v>
      </c>
      <c r="J146" s="131" t="str">
        <f t="shared" si="2"/>
        <v>13</v>
      </c>
    </row>
    <row r="147" spans="1:10" s="114" customFormat="1" ht="24" customHeight="1">
      <c r="A147" s="398">
        <v>17</v>
      </c>
      <c r="B147" s="132" t="s">
        <v>1561</v>
      </c>
      <c r="C147" s="439" t="s">
        <v>367</v>
      </c>
      <c r="D147" s="440" t="s">
        <v>363</v>
      </c>
      <c r="E147" s="398" t="s">
        <v>1562</v>
      </c>
      <c r="F147" s="398" t="s">
        <v>1553</v>
      </c>
      <c r="G147" s="398"/>
      <c r="H147" s="398" t="s">
        <v>281</v>
      </c>
      <c r="I147" s="399"/>
      <c r="J147" s="131" t="str">
        <f t="shared" si="2"/>
        <v>13</v>
      </c>
    </row>
    <row r="148" spans="1:10" s="114" customFormat="1" ht="24" customHeight="1">
      <c r="A148" s="398">
        <v>18</v>
      </c>
      <c r="B148" s="132" t="s">
        <v>1813</v>
      </c>
      <c r="C148" s="439" t="s">
        <v>1814</v>
      </c>
      <c r="D148" s="440" t="s">
        <v>478</v>
      </c>
      <c r="E148" s="398" t="s">
        <v>1815</v>
      </c>
      <c r="F148" s="398" t="s">
        <v>1553</v>
      </c>
      <c r="G148" s="398"/>
      <c r="H148" s="398" t="s">
        <v>281</v>
      </c>
      <c r="I148" s="401" t="s">
        <v>961</v>
      </c>
      <c r="J148" s="131" t="str">
        <f t="shared" si="2"/>
        <v>13</v>
      </c>
    </row>
    <row r="149" spans="1:10" s="114" customFormat="1" ht="24" customHeight="1">
      <c r="A149" s="398">
        <v>19</v>
      </c>
      <c r="B149" s="132" t="s">
        <v>1816</v>
      </c>
      <c r="C149" s="439" t="s">
        <v>1726</v>
      </c>
      <c r="D149" s="440" t="s">
        <v>287</v>
      </c>
      <c r="E149" s="398" t="s">
        <v>1817</v>
      </c>
      <c r="F149" s="398" t="s">
        <v>1553</v>
      </c>
      <c r="G149" s="398"/>
      <c r="H149" s="398" t="s">
        <v>281</v>
      </c>
      <c r="I149" s="401" t="s">
        <v>961</v>
      </c>
      <c r="J149" s="131" t="str">
        <f t="shared" si="2"/>
        <v>13</v>
      </c>
    </row>
    <row r="150" spans="1:10" s="114" customFormat="1" ht="24" customHeight="1">
      <c r="A150" s="398">
        <v>20</v>
      </c>
      <c r="B150" s="132" t="s">
        <v>1818</v>
      </c>
      <c r="C150" s="439" t="s">
        <v>1819</v>
      </c>
      <c r="D150" s="440" t="s">
        <v>287</v>
      </c>
      <c r="E150" s="398" t="s">
        <v>1820</v>
      </c>
      <c r="F150" s="398" t="s">
        <v>1553</v>
      </c>
      <c r="G150" s="398"/>
      <c r="H150" s="398" t="s">
        <v>281</v>
      </c>
      <c r="I150" s="401" t="s">
        <v>961</v>
      </c>
      <c r="J150" s="131" t="str">
        <f t="shared" si="2"/>
        <v>13</v>
      </c>
    </row>
    <row r="151" spans="1:10" s="114" customFormat="1" ht="24" customHeight="1">
      <c r="A151" s="398">
        <v>21</v>
      </c>
      <c r="B151" s="132" t="s">
        <v>1566</v>
      </c>
      <c r="C151" s="439" t="s">
        <v>429</v>
      </c>
      <c r="D151" s="440" t="s">
        <v>200</v>
      </c>
      <c r="E151" s="398" t="s">
        <v>1567</v>
      </c>
      <c r="F151" s="398" t="s">
        <v>1553</v>
      </c>
      <c r="G151" s="398"/>
      <c r="H151" s="398" t="s">
        <v>486</v>
      </c>
      <c r="I151" s="399"/>
      <c r="J151" s="131" t="str">
        <f t="shared" si="2"/>
        <v>13</v>
      </c>
    </row>
    <row r="152" spans="1:10" s="114" customFormat="1" ht="24" customHeight="1">
      <c r="A152" s="398">
        <v>22</v>
      </c>
      <c r="B152" s="132" t="s">
        <v>1568</v>
      </c>
      <c r="C152" s="439" t="s">
        <v>1569</v>
      </c>
      <c r="D152" s="440" t="s">
        <v>435</v>
      </c>
      <c r="E152" s="398" t="s">
        <v>1570</v>
      </c>
      <c r="F152" s="398" t="s">
        <v>1553</v>
      </c>
      <c r="G152" s="398"/>
      <c r="H152" s="398" t="s">
        <v>281</v>
      </c>
      <c r="I152" s="399"/>
      <c r="J152" s="131" t="str">
        <f t="shared" si="2"/>
        <v>13</v>
      </c>
    </row>
    <row r="153" spans="1:10" s="114" customFormat="1" ht="24" customHeight="1">
      <c r="A153" s="398">
        <v>23</v>
      </c>
      <c r="B153" s="132" t="s">
        <v>1826</v>
      </c>
      <c r="C153" s="439" t="s">
        <v>1756</v>
      </c>
      <c r="D153" s="440" t="s">
        <v>1022</v>
      </c>
      <c r="E153" s="398" t="s">
        <v>1823</v>
      </c>
      <c r="F153" s="398" t="s">
        <v>1553</v>
      </c>
      <c r="G153" s="398"/>
      <c r="H153" s="398" t="s">
        <v>281</v>
      </c>
      <c r="I153" s="401" t="s">
        <v>961</v>
      </c>
      <c r="J153" s="131" t="str">
        <f t="shared" si="2"/>
        <v>13</v>
      </c>
    </row>
    <row r="154" spans="1:10" s="114" customFormat="1" ht="24" customHeight="1">
      <c r="A154" s="398">
        <v>24</v>
      </c>
      <c r="B154" s="132" t="s">
        <v>1571</v>
      </c>
      <c r="C154" s="439" t="s">
        <v>452</v>
      </c>
      <c r="D154" s="440" t="s">
        <v>366</v>
      </c>
      <c r="E154" s="398" t="s">
        <v>1572</v>
      </c>
      <c r="F154" s="398" t="s">
        <v>1553</v>
      </c>
      <c r="G154" s="398"/>
      <c r="H154" s="398" t="s">
        <v>281</v>
      </c>
      <c r="I154" s="399"/>
      <c r="J154" s="131" t="str">
        <f t="shared" si="2"/>
        <v>13</v>
      </c>
    </row>
    <row r="155" spans="1:10" s="114" customFormat="1" ht="24" customHeight="1">
      <c r="A155" s="398">
        <v>25</v>
      </c>
      <c r="B155" s="132" t="s">
        <v>1573</v>
      </c>
      <c r="C155" s="439" t="s">
        <v>367</v>
      </c>
      <c r="D155" s="440" t="s">
        <v>438</v>
      </c>
      <c r="E155" s="398" t="s">
        <v>381</v>
      </c>
      <c r="F155" s="398" t="s">
        <v>1553</v>
      </c>
      <c r="G155" s="400" t="s">
        <v>330</v>
      </c>
      <c r="H155" s="398" t="s">
        <v>281</v>
      </c>
      <c r="I155" s="399"/>
      <c r="J155" s="131" t="str">
        <f t="shared" si="2"/>
        <v>13</v>
      </c>
    </row>
    <row r="156" spans="1:10" s="114" customFormat="1" ht="24" customHeight="1">
      <c r="A156" s="398">
        <v>26</v>
      </c>
      <c r="B156" s="132" t="s">
        <v>1827</v>
      </c>
      <c r="C156" s="439" t="s">
        <v>1024</v>
      </c>
      <c r="D156" s="440" t="s">
        <v>404</v>
      </c>
      <c r="E156" s="398" t="s">
        <v>1828</v>
      </c>
      <c r="F156" s="398" t="s">
        <v>1553</v>
      </c>
      <c r="G156" s="398"/>
      <c r="H156" s="398" t="s">
        <v>486</v>
      </c>
      <c r="I156" s="401" t="s">
        <v>961</v>
      </c>
      <c r="J156" s="131" t="str">
        <f t="shared" si="2"/>
        <v>13</v>
      </c>
    </row>
    <row r="157" spans="1:10" s="114" customFormat="1" ht="24" customHeight="1">
      <c r="A157" s="398">
        <v>27</v>
      </c>
      <c r="B157" s="132" t="s">
        <v>1574</v>
      </c>
      <c r="C157" s="439" t="s">
        <v>1575</v>
      </c>
      <c r="D157" s="440" t="s">
        <v>404</v>
      </c>
      <c r="E157" s="398" t="s">
        <v>1576</v>
      </c>
      <c r="F157" s="398" t="s">
        <v>1553</v>
      </c>
      <c r="G157" s="398"/>
      <c r="H157" s="398" t="s">
        <v>281</v>
      </c>
      <c r="I157" s="399"/>
      <c r="J157" s="131" t="str">
        <f t="shared" si="2"/>
        <v>13</v>
      </c>
    </row>
    <row r="158" spans="1:10" s="114" customFormat="1" ht="24" customHeight="1">
      <c r="A158" s="398">
        <v>28</v>
      </c>
      <c r="B158" s="132" t="s">
        <v>1829</v>
      </c>
      <c r="C158" s="439" t="s">
        <v>371</v>
      </c>
      <c r="D158" s="440" t="s">
        <v>1025</v>
      </c>
      <c r="E158" s="398" t="s">
        <v>1830</v>
      </c>
      <c r="F158" s="398" t="s">
        <v>1553</v>
      </c>
      <c r="G158" s="398"/>
      <c r="H158" s="398" t="s">
        <v>281</v>
      </c>
      <c r="I158" s="401" t="s">
        <v>962</v>
      </c>
      <c r="J158" s="131" t="str">
        <f t="shared" si="2"/>
        <v>13</v>
      </c>
    </row>
    <row r="159" spans="1:10" s="114" customFormat="1" ht="24" customHeight="1">
      <c r="A159" s="398">
        <v>29</v>
      </c>
      <c r="B159" s="132" t="s">
        <v>1577</v>
      </c>
      <c r="C159" s="439" t="s">
        <v>1578</v>
      </c>
      <c r="D159" s="440" t="s">
        <v>406</v>
      </c>
      <c r="E159" s="398" t="s">
        <v>1579</v>
      </c>
      <c r="F159" s="398" t="s">
        <v>1553</v>
      </c>
      <c r="G159" s="398"/>
      <c r="H159" s="398" t="s">
        <v>281</v>
      </c>
      <c r="I159" s="399"/>
      <c r="J159" s="131" t="str">
        <f t="shared" si="2"/>
        <v>13</v>
      </c>
    </row>
    <row r="160" spans="1:10" s="114" customFormat="1" ht="24" customHeight="1">
      <c r="A160" s="398">
        <v>30</v>
      </c>
      <c r="B160" s="132" t="s">
        <v>1580</v>
      </c>
      <c r="C160" s="439" t="s">
        <v>1581</v>
      </c>
      <c r="D160" s="440" t="s">
        <v>293</v>
      </c>
      <c r="E160" s="398" t="s">
        <v>423</v>
      </c>
      <c r="F160" s="398" t="s">
        <v>1553</v>
      </c>
      <c r="G160" s="398"/>
      <c r="H160" s="398" t="s">
        <v>486</v>
      </c>
      <c r="I160" s="399"/>
      <c r="J160" s="131" t="str">
        <f t="shared" si="2"/>
        <v>13</v>
      </c>
    </row>
    <row r="161" spans="1:10" s="114" customFormat="1" ht="24" customHeight="1">
      <c r="A161" s="398">
        <v>31</v>
      </c>
      <c r="B161" s="132" t="s">
        <v>1582</v>
      </c>
      <c r="C161" s="439" t="s">
        <v>1583</v>
      </c>
      <c r="D161" s="440" t="s">
        <v>1584</v>
      </c>
      <c r="E161" s="398" t="s">
        <v>1585</v>
      </c>
      <c r="F161" s="398" t="s">
        <v>1553</v>
      </c>
      <c r="G161" s="398"/>
      <c r="H161" s="398" t="s">
        <v>486</v>
      </c>
      <c r="I161" s="399"/>
      <c r="J161" s="131" t="str">
        <f t="shared" si="2"/>
        <v>13</v>
      </c>
    </row>
    <row r="162" spans="1:10" s="114" customFormat="1" ht="24" customHeight="1">
      <c r="A162" s="398">
        <v>32</v>
      </c>
      <c r="B162" s="132" t="s">
        <v>1586</v>
      </c>
      <c r="C162" s="439" t="s">
        <v>1270</v>
      </c>
      <c r="D162" s="440" t="s">
        <v>328</v>
      </c>
      <c r="E162" s="398" t="s">
        <v>453</v>
      </c>
      <c r="F162" s="398" t="s">
        <v>1553</v>
      </c>
      <c r="G162" s="398"/>
      <c r="H162" s="398" t="s">
        <v>281</v>
      </c>
      <c r="I162" s="401"/>
      <c r="J162" s="131" t="str">
        <f t="shared" si="2"/>
        <v>13</v>
      </c>
    </row>
    <row r="163" spans="1:10" s="115" customFormat="1" ht="24" customHeight="1">
      <c r="A163" s="398">
        <v>33</v>
      </c>
      <c r="B163" s="132" t="s">
        <v>1587</v>
      </c>
      <c r="C163" s="439" t="s">
        <v>1588</v>
      </c>
      <c r="D163" s="440" t="s">
        <v>455</v>
      </c>
      <c r="E163" s="398" t="s">
        <v>327</v>
      </c>
      <c r="F163" s="398" t="s">
        <v>1553</v>
      </c>
      <c r="G163" s="398"/>
      <c r="H163" s="398" t="s">
        <v>281</v>
      </c>
      <c r="I163" s="399"/>
      <c r="J163" s="131" t="str">
        <f t="shared" si="2"/>
        <v>13</v>
      </c>
    </row>
    <row r="164" spans="1:10" s="114" customFormat="1" ht="24" customHeight="1">
      <c r="A164" s="398">
        <v>34</v>
      </c>
      <c r="B164" s="132" t="s">
        <v>1589</v>
      </c>
      <c r="C164" s="439" t="s">
        <v>1590</v>
      </c>
      <c r="D164" s="440" t="s">
        <v>1591</v>
      </c>
      <c r="E164" s="398" t="s">
        <v>1592</v>
      </c>
      <c r="F164" s="398" t="s">
        <v>1553</v>
      </c>
      <c r="G164" s="398"/>
      <c r="H164" s="398" t="s">
        <v>281</v>
      </c>
      <c r="I164" s="399"/>
      <c r="J164" s="131" t="str">
        <f t="shared" si="2"/>
        <v>13</v>
      </c>
    </row>
    <row r="165" spans="1:10" s="114" customFormat="1" ht="24" customHeight="1">
      <c r="A165" s="398">
        <v>35</v>
      </c>
      <c r="B165" s="132" t="s">
        <v>1593</v>
      </c>
      <c r="C165" s="439" t="s">
        <v>1594</v>
      </c>
      <c r="D165" s="440" t="s">
        <v>333</v>
      </c>
      <c r="E165" s="398" t="s">
        <v>1595</v>
      </c>
      <c r="F165" s="398" t="s">
        <v>1553</v>
      </c>
      <c r="G165" s="398"/>
      <c r="H165" s="398" t="s">
        <v>281</v>
      </c>
      <c r="I165" s="399"/>
      <c r="J165" s="131" t="str">
        <f t="shared" si="2"/>
        <v>13</v>
      </c>
    </row>
    <row r="166" spans="1:10" s="114" customFormat="1" ht="24" customHeight="1">
      <c r="A166" s="398">
        <v>36</v>
      </c>
      <c r="B166" s="132" t="s">
        <v>1596</v>
      </c>
      <c r="C166" s="439" t="s">
        <v>462</v>
      </c>
      <c r="D166" s="440" t="s">
        <v>213</v>
      </c>
      <c r="E166" s="398" t="s">
        <v>1597</v>
      </c>
      <c r="F166" s="398" t="s">
        <v>1553</v>
      </c>
      <c r="G166" s="398"/>
      <c r="H166" s="398" t="s">
        <v>281</v>
      </c>
      <c r="I166" s="399"/>
      <c r="J166" s="131" t="str">
        <f t="shared" si="2"/>
        <v>13</v>
      </c>
    </row>
    <row r="167" spans="1:10" s="114" customFormat="1" ht="24" customHeight="1">
      <c r="A167" s="398">
        <v>37</v>
      </c>
      <c r="B167" s="132" t="s">
        <v>1598</v>
      </c>
      <c r="C167" s="439" t="s">
        <v>282</v>
      </c>
      <c r="D167" s="440" t="s">
        <v>377</v>
      </c>
      <c r="E167" s="398" t="s">
        <v>379</v>
      </c>
      <c r="F167" s="398" t="s">
        <v>1553</v>
      </c>
      <c r="G167" s="400" t="s">
        <v>360</v>
      </c>
      <c r="H167" s="398" t="s">
        <v>281</v>
      </c>
      <c r="I167" s="399"/>
      <c r="J167" s="131" t="str">
        <f t="shared" si="2"/>
        <v>13</v>
      </c>
    </row>
    <row r="168" spans="1:10" s="114" customFormat="1" ht="24" customHeight="1">
      <c r="A168" s="398">
        <v>38</v>
      </c>
      <c r="B168" s="132" t="s">
        <v>1599</v>
      </c>
      <c r="C168" s="439" t="s">
        <v>1578</v>
      </c>
      <c r="D168" s="440" t="s">
        <v>215</v>
      </c>
      <c r="E168" s="398" t="s">
        <v>463</v>
      </c>
      <c r="F168" s="398" t="s">
        <v>1553</v>
      </c>
      <c r="G168" s="398"/>
      <c r="H168" s="398" t="s">
        <v>281</v>
      </c>
      <c r="I168" s="399"/>
      <c r="J168" s="131" t="str">
        <f t="shared" si="2"/>
        <v>13</v>
      </c>
    </row>
    <row r="169" spans="1:10" s="114" customFormat="1" ht="24" customHeight="1">
      <c r="A169" s="398">
        <v>39</v>
      </c>
      <c r="B169" s="132" t="s">
        <v>1600</v>
      </c>
      <c r="C169" s="439" t="s">
        <v>1601</v>
      </c>
      <c r="D169" s="440" t="s">
        <v>347</v>
      </c>
      <c r="E169" s="398" t="s">
        <v>466</v>
      </c>
      <c r="F169" s="398" t="s">
        <v>1553</v>
      </c>
      <c r="G169" s="398"/>
      <c r="H169" s="398" t="s">
        <v>281</v>
      </c>
      <c r="I169" s="399"/>
      <c r="J169" s="131" t="str">
        <f t="shared" si="2"/>
        <v>13</v>
      </c>
    </row>
    <row r="170" spans="1:10" s="114" customFormat="1" ht="24" customHeight="1">
      <c r="A170" s="398">
        <v>40</v>
      </c>
      <c r="B170" s="132" t="s">
        <v>1602</v>
      </c>
      <c r="C170" s="439" t="s">
        <v>452</v>
      </c>
      <c r="D170" s="440" t="s">
        <v>221</v>
      </c>
      <c r="E170" s="398" t="s">
        <v>1603</v>
      </c>
      <c r="F170" s="398" t="s">
        <v>1553</v>
      </c>
      <c r="G170" s="400" t="s">
        <v>336</v>
      </c>
      <c r="H170" s="398" t="s">
        <v>281</v>
      </c>
      <c r="I170" s="399"/>
      <c r="J170" s="131" t="str">
        <f t="shared" si="2"/>
        <v>13</v>
      </c>
    </row>
    <row r="171" spans="1:10" s="114" customFormat="1" ht="24" customHeight="1">
      <c r="A171" s="398">
        <v>41</v>
      </c>
      <c r="B171" s="132" t="s">
        <v>1604</v>
      </c>
      <c r="C171" s="439" t="s">
        <v>1605</v>
      </c>
      <c r="D171" s="440" t="s">
        <v>223</v>
      </c>
      <c r="E171" s="398" t="s">
        <v>1606</v>
      </c>
      <c r="F171" s="398" t="s">
        <v>1553</v>
      </c>
      <c r="G171" s="398"/>
      <c r="H171" s="398" t="s">
        <v>281</v>
      </c>
      <c r="I171" s="399"/>
      <c r="J171" s="131" t="str">
        <f t="shared" si="2"/>
        <v>13</v>
      </c>
    </row>
    <row r="172" spans="1:10" s="114" customFormat="1" ht="24" customHeight="1">
      <c r="A172" s="398">
        <v>42</v>
      </c>
      <c r="B172" s="132" t="s">
        <v>1607</v>
      </c>
      <c r="C172" s="439" t="s">
        <v>467</v>
      </c>
      <c r="D172" s="440" t="s">
        <v>350</v>
      </c>
      <c r="E172" s="398" t="s">
        <v>1411</v>
      </c>
      <c r="F172" s="398" t="s">
        <v>1553</v>
      </c>
      <c r="G172" s="398"/>
      <c r="H172" s="398" t="s">
        <v>281</v>
      </c>
      <c r="I172" s="399"/>
      <c r="J172" s="131" t="str">
        <f t="shared" si="2"/>
        <v>13</v>
      </c>
    </row>
    <row r="173" spans="1:10" s="114" customFormat="1" ht="24" customHeight="1">
      <c r="A173" s="398">
        <v>43</v>
      </c>
      <c r="B173" s="132" t="s">
        <v>1611</v>
      </c>
      <c r="C173" s="439" t="s">
        <v>212</v>
      </c>
      <c r="D173" s="440" t="s">
        <v>446</v>
      </c>
      <c r="E173" s="398" t="s">
        <v>387</v>
      </c>
      <c r="F173" s="398" t="s">
        <v>1553</v>
      </c>
      <c r="G173" s="398"/>
      <c r="H173" s="398" t="s">
        <v>281</v>
      </c>
      <c r="I173" s="399"/>
      <c r="J173" s="131" t="str">
        <f t="shared" si="2"/>
        <v>13</v>
      </c>
    </row>
    <row r="174" spans="1:10" s="114" customFormat="1" ht="24" customHeight="1">
      <c r="A174" s="398">
        <v>44</v>
      </c>
      <c r="B174" s="132" t="s">
        <v>1608</v>
      </c>
      <c r="C174" s="439" t="s">
        <v>1609</v>
      </c>
      <c r="D174" s="440" t="s">
        <v>352</v>
      </c>
      <c r="E174" s="398" t="s">
        <v>1610</v>
      </c>
      <c r="F174" s="398" t="s">
        <v>1553</v>
      </c>
      <c r="G174" s="398"/>
      <c r="H174" s="398" t="s">
        <v>281</v>
      </c>
      <c r="I174" s="399"/>
      <c r="J174" s="131" t="str">
        <f t="shared" si="2"/>
        <v>13</v>
      </c>
    </row>
    <row r="175" spans="1:10" s="114" customFormat="1" ht="24" customHeight="1">
      <c r="A175" s="398">
        <v>45</v>
      </c>
      <c r="B175" s="132" t="s">
        <v>1612</v>
      </c>
      <c r="C175" s="439" t="s">
        <v>198</v>
      </c>
      <c r="D175" s="440" t="s">
        <v>417</v>
      </c>
      <c r="E175" s="398" t="s">
        <v>1363</v>
      </c>
      <c r="F175" s="398" t="s">
        <v>1553</v>
      </c>
      <c r="G175" s="398"/>
      <c r="H175" s="398" t="s">
        <v>281</v>
      </c>
      <c r="I175" s="416"/>
      <c r="J175" s="131" t="str">
        <f t="shared" si="2"/>
        <v>13</v>
      </c>
    </row>
    <row r="176" spans="1:10" s="114" customFormat="1" ht="24" customHeight="1">
      <c r="A176" s="398">
        <v>46</v>
      </c>
      <c r="B176" s="132" t="s">
        <v>1613</v>
      </c>
      <c r="C176" s="439" t="s">
        <v>1614</v>
      </c>
      <c r="D176" s="440" t="s">
        <v>231</v>
      </c>
      <c r="E176" s="398" t="s">
        <v>469</v>
      </c>
      <c r="F176" s="398" t="s">
        <v>1553</v>
      </c>
      <c r="G176" s="400"/>
      <c r="H176" s="398" t="s">
        <v>281</v>
      </c>
      <c r="I176" s="399"/>
      <c r="J176" s="131" t="str">
        <f t="shared" si="2"/>
        <v>13</v>
      </c>
    </row>
    <row r="177" spans="1:10" s="114" customFormat="1" ht="24" customHeight="1">
      <c r="A177" s="398">
        <v>47</v>
      </c>
      <c r="B177" s="132" t="s">
        <v>1615</v>
      </c>
      <c r="C177" s="439" t="s">
        <v>1616</v>
      </c>
      <c r="D177" s="440" t="s">
        <v>420</v>
      </c>
      <c r="E177" s="398" t="s">
        <v>374</v>
      </c>
      <c r="F177" s="398" t="s">
        <v>1553</v>
      </c>
      <c r="G177" s="398"/>
      <c r="H177" s="398" t="s">
        <v>281</v>
      </c>
      <c r="I177" s="399"/>
      <c r="J177" s="131" t="str">
        <f t="shared" si="2"/>
        <v>13</v>
      </c>
    </row>
    <row r="178" spans="1:10" s="114" customFormat="1" ht="24" customHeight="1">
      <c r="A178" s="398">
        <v>48</v>
      </c>
      <c r="B178" s="132" t="s">
        <v>1617</v>
      </c>
      <c r="C178" s="439" t="s">
        <v>1356</v>
      </c>
      <c r="D178" s="440" t="s">
        <v>1618</v>
      </c>
      <c r="E178" s="398" t="s">
        <v>1619</v>
      </c>
      <c r="F178" s="398" t="s">
        <v>1553</v>
      </c>
      <c r="G178" s="398"/>
      <c r="H178" s="398" t="s">
        <v>281</v>
      </c>
      <c r="I178" s="399"/>
      <c r="J178" s="131" t="str">
        <f t="shared" si="2"/>
        <v>13</v>
      </c>
    </row>
    <row r="179" spans="1:10" s="114" customFormat="1" ht="24" customHeight="1">
      <c r="A179" s="398">
        <v>49</v>
      </c>
      <c r="B179" s="132" t="s">
        <v>1620</v>
      </c>
      <c r="C179" s="439" t="s">
        <v>201</v>
      </c>
      <c r="D179" s="440" t="s">
        <v>1621</v>
      </c>
      <c r="E179" s="398">
        <v>1992</v>
      </c>
      <c r="F179" s="398" t="s">
        <v>1553</v>
      </c>
      <c r="G179" s="398"/>
      <c r="H179" s="398" t="s">
        <v>281</v>
      </c>
      <c r="I179" s="399"/>
      <c r="J179" s="131" t="str">
        <f t="shared" si="2"/>
        <v>13</v>
      </c>
    </row>
    <row r="180" spans="1:10" s="114" customFormat="1" ht="24" customHeight="1" thickBot="1">
      <c r="A180" s="406">
        <v>50</v>
      </c>
      <c r="B180" s="132" t="s">
        <v>1622</v>
      </c>
      <c r="C180" s="441" t="s">
        <v>474</v>
      </c>
      <c r="D180" s="442" t="s">
        <v>237</v>
      </c>
      <c r="E180" s="406" t="s">
        <v>1623</v>
      </c>
      <c r="F180" s="406" t="s">
        <v>1553</v>
      </c>
      <c r="G180" s="406"/>
      <c r="H180" s="406" t="s">
        <v>281</v>
      </c>
      <c r="I180" s="407"/>
      <c r="J180" s="131" t="str">
        <f t="shared" si="2"/>
        <v>13</v>
      </c>
    </row>
    <row r="181" spans="1:10" s="114" customFormat="1" ht="24" hidden="1" customHeight="1">
      <c r="A181" s="408">
        <v>1</v>
      </c>
      <c r="B181" s="132" t="s">
        <v>1624</v>
      </c>
      <c r="C181" s="443" t="s">
        <v>1625</v>
      </c>
      <c r="D181" s="444" t="s">
        <v>425</v>
      </c>
      <c r="E181" s="408" t="s">
        <v>475</v>
      </c>
      <c r="F181" s="409" t="s">
        <v>1626</v>
      </c>
      <c r="G181" s="408"/>
      <c r="H181" s="408" t="s">
        <v>281</v>
      </c>
      <c r="I181" s="410"/>
      <c r="J181" s="131" t="str">
        <f t="shared" si="2"/>
        <v>13</v>
      </c>
    </row>
    <row r="182" spans="1:10" s="114" customFormat="1" ht="24" hidden="1" customHeight="1">
      <c r="A182" s="398">
        <v>2</v>
      </c>
      <c r="B182" s="132" t="s">
        <v>1627</v>
      </c>
      <c r="C182" s="439" t="s">
        <v>1209</v>
      </c>
      <c r="D182" s="440" t="s">
        <v>1628</v>
      </c>
      <c r="E182" s="398" t="s">
        <v>476</v>
      </c>
      <c r="F182" s="398" t="s">
        <v>1626</v>
      </c>
      <c r="G182" s="400" t="s">
        <v>360</v>
      </c>
      <c r="H182" s="398" t="s">
        <v>281</v>
      </c>
      <c r="I182" s="401"/>
      <c r="J182" s="131" t="str">
        <f t="shared" si="2"/>
        <v>13</v>
      </c>
    </row>
    <row r="183" spans="1:10" s="114" customFormat="1" ht="24" hidden="1" customHeight="1">
      <c r="A183" s="398">
        <v>3</v>
      </c>
      <c r="B183" s="132" t="s">
        <v>1629</v>
      </c>
      <c r="C183" s="439" t="s">
        <v>1388</v>
      </c>
      <c r="D183" s="440" t="s">
        <v>197</v>
      </c>
      <c r="E183" s="398" t="s">
        <v>477</v>
      </c>
      <c r="F183" s="398" t="s">
        <v>1626</v>
      </c>
      <c r="G183" s="398"/>
      <c r="H183" s="398" t="s">
        <v>281</v>
      </c>
      <c r="I183" s="401"/>
      <c r="J183" s="131" t="str">
        <f t="shared" si="2"/>
        <v>13</v>
      </c>
    </row>
    <row r="184" spans="1:10" s="114" customFormat="1" ht="24" hidden="1" customHeight="1">
      <c r="A184" s="398">
        <v>4</v>
      </c>
      <c r="B184" s="132" t="s">
        <v>1633</v>
      </c>
      <c r="C184" s="439" t="s">
        <v>1588</v>
      </c>
      <c r="D184" s="440" t="s">
        <v>1634</v>
      </c>
      <c r="E184" s="398" t="s">
        <v>1635</v>
      </c>
      <c r="F184" s="398" t="s">
        <v>1626</v>
      </c>
      <c r="G184" s="398"/>
      <c r="H184" s="398" t="s">
        <v>281</v>
      </c>
      <c r="I184" s="401"/>
      <c r="J184" s="131" t="str">
        <f t="shared" si="2"/>
        <v>13</v>
      </c>
    </row>
    <row r="185" spans="1:10" s="114" customFormat="1" ht="24" hidden="1" customHeight="1">
      <c r="A185" s="398">
        <v>5</v>
      </c>
      <c r="B185" s="132" t="s">
        <v>1636</v>
      </c>
      <c r="C185" s="439" t="s">
        <v>1637</v>
      </c>
      <c r="D185" s="440" t="s">
        <v>291</v>
      </c>
      <c r="E185" s="398" t="s">
        <v>1638</v>
      </c>
      <c r="F185" s="398" t="s">
        <v>1626</v>
      </c>
      <c r="G185" s="398"/>
      <c r="H185" s="398" t="s">
        <v>281</v>
      </c>
      <c r="I185" s="401"/>
      <c r="J185" s="131" t="str">
        <f t="shared" si="2"/>
        <v>13</v>
      </c>
    </row>
    <row r="186" spans="1:10" s="114" customFormat="1" ht="24" hidden="1" customHeight="1">
      <c r="A186" s="398">
        <v>6</v>
      </c>
      <c r="B186" s="132" t="s">
        <v>1630</v>
      </c>
      <c r="C186" s="439" t="s">
        <v>1631</v>
      </c>
      <c r="D186" s="440" t="s">
        <v>478</v>
      </c>
      <c r="E186" s="398" t="s">
        <v>1632</v>
      </c>
      <c r="F186" s="398" t="s">
        <v>1626</v>
      </c>
      <c r="G186" s="398"/>
      <c r="H186" s="398" t="s">
        <v>281</v>
      </c>
      <c r="I186" s="401"/>
      <c r="J186" s="131" t="str">
        <f t="shared" si="2"/>
        <v>13</v>
      </c>
    </row>
    <row r="187" spans="1:10" s="114" customFormat="1" ht="24" hidden="1" customHeight="1">
      <c r="A187" s="398">
        <v>7</v>
      </c>
      <c r="B187" s="132" t="s">
        <v>1639</v>
      </c>
      <c r="C187" s="439" t="s">
        <v>201</v>
      </c>
      <c r="D187" s="440" t="s">
        <v>479</v>
      </c>
      <c r="E187" s="398" t="s">
        <v>1640</v>
      </c>
      <c r="F187" s="398" t="s">
        <v>1626</v>
      </c>
      <c r="G187" s="398"/>
      <c r="H187" s="398" t="s">
        <v>281</v>
      </c>
      <c r="I187" s="401"/>
      <c r="J187" s="131" t="str">
        <f t="shared" si="2"/>
        <v>13</v>
      </c>
    </row>
    <row r="188" spans="1:10" s="114" customFormat="1" ht="24" hidden="1" customHeight="1">
      <c r="A188" s="398">
        <v>8</v>
      </c>
      <c r="B188" s="132" t="s">
        <v>1641</v>
      </c>
      <c r="C188" s="439" t="s">
        <v>1642</v>
      </c>
      <c r="D188" s="440" t="s">
        <v>480</v>
      </c>
      <c r="E188" s="398" t="s">
        <v>1643</v>
      </c>
      <c r="F188" s="398" t="s">
        <v>1626</v>
      </c>
      <c r="G188" s="398"/>
      <c r="H188" s="398" t="s">
        <v>281</v>
      </c>
      <c r="I188" s="399"/>
      <c r="J188" s="131" t="str">
        <f t="shared" si="2"/>
        <v>13</v>
      </c>
    </row>
    <row r="189" spans="1:10" s="114" customFormat="1" ht="24" hidden="1" customHeight="1">
      <c r="A189" s="398">
        <v>9</v>
      </c>
      <c r="B189" s="132" t="s">
        <v>1644</v>
      </c>
      <c r="C189" s="439" t="s">
        <v>482</v>
      </c>
      <c r="D189" s="440" t="s">
        <v>404</v>
      </c>
      <c r="E189" s="398" t="s">
        <v>1645</v>
      </c>
      <c r="F189" s="398" t="s">
        <v>1626</v>
      </c>
      <c r="G189" s="398"/>
      <c r="H189" s="398" t="s">
        <v>281</v>
      </c>
      <c r="I189" s="401"/>
      <c r="J189" s="131" t="str">
        <f t="shared" si="2"/>
        <v>13</v>
      </c>
    </row>
    <row r="190" spans="1:10" s="114" customFormat="1" ht="24" hidden="1" customHeight="1">
      <c r="A190" s="398">
        <v>10</v>
      </c>
      <c r="B190" s="132" t="s">
        <v>1646</v>
      </c>
      <c r="C190" s="439" t="s">
        <v>1647</v>
      </c>
      <c r="D190" s="440" t="s">
        <v>404</v>
      </c>
      <c r="E190" s="398" t="s">
        <v>1648</v>
      </c>
      <c r="F190" s="398" t="s">
        <v>1626</v>
      </c>
      <c r="G190" s="398"/>
      <c r="H190" s="398" t="s">
        <v>281</v>
      </c>
      <c r="I190" s="401"/>
      <c r="J190" s="131" t="str">
        <f t="shared" si="2"/>
        <v>13</v>
      </c>
    </row>
    <row r="191" spans="1:10" s="114" customFormat="1" ht="24" hidden="1" customHeight="1">
      <c r="A191" s="398">
        <v>11</v>
      </c>
      <c r="B191" s="132" t="s">
        <v>1831</v>
      </c>
      <c r="C191" s="439" t="s">
        <v>1832</v>
      </c>
      <c r="D191" s="440" t="s">
        <v>293</v>
      </c>
      <c r="E191" s="398" t="s">
        <v>1833</v>
      </c>
      <c r="F191" s="398" t="s">
        <v>1626</v>
      </c>
      <c r="G191" s="398"/>
      <c r="H191" s="398" t="s">
        <v>281</v>
      </c>
      <c r="I191" s="401" t="s">
        <v>961</v>
      </c>
      <c r="J191" s="131" t="str">
        <f t="shared" si="2"/>
        <v>13</v>
      </c>
    </row>
    <row r="192" spans="1:10" s="114" customFormat="1" ht="24" hidden="1" customHeight="1">
      <c r="A192" s="398">
        <v>12</v>
      </c>
      <c r="B192" s="132" t="s">
        <v>1834</v>
      </c>
      <c r="C192" s="439" t="s">
        <v>439</v>
      </c>
      <c r="D192" s="440" t="s">
        <v>295</v>
      </c>
      <c r="E192" s="398" t="s">
        <v>1835</v>
      </c>
      <c r="F192" s="398" t="s">
        <v>1626</v>
      </c>
      <c r="G192" s="398"/>
      <c r="H192" s="398" t="s">
        <v>281</v>
      </c>
      <c r="I192" s="401" t="s">
        <v>961</v>
      </c>
      <c r="J192" s="131" t="str">
        <f t="shared" si="2"/>
        <v>13</v>
      </c>
    </row>
    <row r="193" spans="1:10" s="114" customFormat="1" ht="24" hidden="1" customHeight="1">
      <c r="A193" s="398">
        <v>13</v>
      </c>
      <c r="B193" s="132" t="s">
        <v>1649</v>
      </c>
      <c r="C193" s="439" t="s">
        <v>1650</v>
      </c>
      <c r="D193" s="440" t="s">
        <v>328</v>
      </c>
      <c r="E193" s="398" t="s">
        <v>430</v>
      </c>
      <c r="F193" s="398" t="s">
        <v>1626</v>
      </c>
      <c r="G193" s="398"/>
      <c r="H193" s="398" t="s">
        <v>281</v>
      </c>
      <c r="I193" s="401"/>
      <c r="J193" s="131" t="str">
        <f t="shared" si="2"/>
        <v>13</v>
      </c>
    </row>
    <row r="194" spans="1:10" s="115" customFormat="1" ht="24" hidden="1" customHeight="1">
      <c r="A194" s="398">
        <v>14</v>
      </c>
      <c r="B194" s="132" t="s">
        <v>1836</v>
      </c>
      <c r="C194" s="439" t="s">
        <v>206</v>
      </c>
      <c r="D194" s="440" t="s">
        <v>328</v>
      </c>
      <c r="E194" s="398" t="s">
        <v>440</v>
      </c>
      <c r="F194" s="398" t="s">
        <v>1626</v>
      </c>
      <c r="G194" s="398"/>
      <c r="H194" s="398" t="s">
        <v>281</v>
      </c>
      <c r="I194" s="401" t="s">
        <v>961</v>
      </c>
      <c r="J194" s="131" t="str">
        <f t="shared" si="2"/>
        <v>13</v>
      </c>
    </row>
    <row r="195" spans="1:10" s="114" customFormat="1" ht="24" hidden="1" customHeight="1">
      <c r="A195" s="398">
        <v>15</v>
      </c>
      <c r="B195" s="132" t="s">
        <v>1837</v>
      </c>
      <c r="C195" s="439" t="s">
        <v>1838</v>
      </c>
      <c r="D195" s="440" t="s">
        <v>210</v>
      </c>
      <c r="E195" s="398" t="s">
        <v>1366</v>
      </c>
      <c r="F195" s="398" t="s">
        <v>1626</v>
      </c>
      <c r="G195" s="398"/>
      <c r="H195" s="398" t="s">
        <v>281</v>
      </c>
      <c r="I195" s="401" t="s">
        <v>961</v>
      </c>
      <c r="J195" s="131" t="str">
        <f t="shared" ref="J195:J258" si="3">LEFT(F195,2)</f>
        <v>13</v>
      </c>
    </row>
    <row r="196" spans="1:10" s="114" customFormat="1" ht="24" hidden="1" customHeight="1">
      <c r="A196" s="398">
        <v>16</v>
      </c>
      <c r="B196" s="132" t="s">
        <v>1651</v>
      </c>
      <c r="C196" s="439" t="s">
        <v>1652</v>
      </c>
      <c r="D196" s="440" t="s">
        <v>454</v>
      </c>
      <c r="E196" s="398" t="s">
        <v>1653</v>
      </c>
      <c r="F196" s="398" t="s">
        <v>1626</v>
      </c>
      <c r="G196" s="398"/>
      <c r="H196" s="398" t="s">
        <v>281</v>
      </c>
      <c r="I196" s="401"/>
      <c r="J196" s="131" t="str">
        <f t="shared" si="3"/>
        <v>13</v>
      </c>
    </row>
    <row r="197" spans="1:10" s="114" customFormat="1" ht="24" hidden="1" customHeight="1">
      <c r="A197" s="398">
        <v>17</v>
      </c>
      <c r="B197" s="132" t="s">
        <v>1839</v>
      </c>
      <c r="C197" s="439" t="s">
        <v>1609</v>
      </c>
      <c r="D197" s="440" t="s">
        <v>333</v>
      </c>
      <c r="E197" s="398" t="s">
        <v>1840</v>
      </c>
      <c r="F197" s="398" t="s">
        <v>1626</v>
      </c>
      <c r="G197" s="398"/>
      <c r="H197" s="398" t="s">
        <v>281</v>
      </c>
      <c r="I197" s="401" t="s">
        <v>961</v>
      </c>
      <c r="J197" s="131" t="str">
        <f t="shared" si="3"/>
        <v>13</v>
      </c>
    </row>
    <row r="198" spans="1:10" s="114" customFormat="1" ht="24" hidden="1" customHeight="1">
      <c r="A198" s="398">
        <v>18</v>
      </c>
      <c r="B198" s="403" t="s">
        <v>2628</v>
      </c>
      <c r="C198" s="439" t="s">
        <v>2629</v>
      </c>
      <c r="D198" s="440" t="s">
        <v>333</v>
      </c>
      <c r="E198" s="398" t="s">
        <v>2630</v>
      </c>
      <c r="F198" s="398" t="s">
        <v>1626</v>
      </c>
      <c r="G198" s="400" t="s">
        <v>325</v>
      </c>
      <c r="H198" s="398" t="s">
        <v>281</v>
      </c>
      <c r="I198" s="404" t="s">
        <v>2631</v>
      </c>
      <c r="J198" s="131" t="str">
        <f t="shared" si="3"/>
        <v>13</v>
      </c>
    </row>
    <row r="199" spans="1:10" s="114" customFormat="1" ht="24" hidden="1" customHeight="1">
      <c r="A199" s="398">
        <v>19</v>
      </c>
      <c r="B199" s="132" t="s">
        <v>1654</v>
      </c>
      <c r="C199" s="439" t="s">
        <v>195</v>
      </c>
      <c r="D199" s="440" t="s">
        <v>969</v>
      </c>
      <c r="E199" s="398" t="s">
        <v>970</v>
      </c>
      <c r="F199" s="398" t="s">
        <v>1626</v>
      </c>
      <c r="G199" s="398"/>
      <c r="H199" s="398" t="s">
        <v>281</v>
      </c>
      <c r="I199" s="401"/>
      <c r="J199" s="131" t="str">
        <f t="shared" si="3"/>
        <v>13</v>
      </c>
    </row>
    <row r="200" spans="1:10" s="114" customFormat="1" ht="24" hidden="1" customHeight="1">
      <c r="A200" s="398">
        <v>20</v>
      </c>
      <c r="B200" s="132" t="s">
        <v>1841</v>
      </c>
      <c r="C200" s="439" t="s">
        <v>462</v>
      </c>
      <c r="D200" s="440" t="s">
        <v>213</v>
      </c>
      <c r="E200" s="398" t="s">
        <v>1842</v>
      </c>
      <c r="F200" s="398" t="s">
        <v>1626</v>
      </c>
      <c r="G200" s="398"/>
      <c r="H200" s="398" t="s">
        <v>281</v>
      </c>
      <c r="I200" s="401" t="s">
        <v>961</v>
      </c>
      <c r="J200" s="131" t="str">
        <f t="shared" si="3"/>
        <v>13</v>
      </c>
    </row>
    <row r="201" spans="1:10" s="114" customFormat="1" ht="24" hidden="1" customHeight="1">
      <c r="A201" s="398">
        <v>21</v>
      </c>
      <c r="B201" s="132" t="s">
        <v>1655</v>
      </c>
      <c r="C201" s="439" t="s">
        <v>1656</v>
      </c>
      <c r="D201" s="440" t="s">
        <v>1657</v>
      </c>
      <c r="E201" s="398" t="s">
        <v>1658</v>
      </c>
      <c r="F201" s="398" t="s">
        <v>1626</v>
      </c>
      <c r="G201" s="398"/>
      <c r="H201" s="398" t="s">
        <v>281</v>
      </c>
      <c r="I201" s="401"/>
      <c r="J201" s="131" t="str">
        <f t="shared" si="3"/>
        <v>13</v>
      </c>
    </row>
    <row r="202" spans="1:10" s="114" customFormat="1" ht="24" hidden="1" customHeight="1">
      <c r="A202" s="398">
        <v>22</v>
      </c>
      <c r="B202" s="132" t="s">
        <v>1843</v>
      </c>
      <c r="C202" s="439" t="s">
        <v>209</v>
      </c>
      <c r="D202" s="440" t="s">
        <v>377</v>
      </c>
      <c r="E202" s="398" t="s">
        <v>1844</v>
      </c>
      <c r="F202" s="398" t="s">
        <v>1626</v>
      </c>
      <c r="G202" s="400"/>
      <c r="H202" s="398" t="s">
        <v>486</v>
      </c>
      <c r="I202" s="401" t="s">
        <v>961</v>
      </c>
      <c r="J202" s="131" t="str">
        <f t="shared" si="3"/>
        <v>13</v>
      </c>
    </row>
    <row r="203" spans="1:10" s="114" customFormat="1" ht="24" hidden="1" customHeight="1">
      <c r="A203" s="398">
        <v>23</v>
      </c>
      <c r="B203" s="403" t="s">
        <v>2632</v>
      </c>
      <c r="C203" s="439" t="s">
        <v>2633</v>
      </c>
      <c r="D203" s="440" t="s">
        <v>377</v>
      </c>
      <c r="E203" s="398" t="s">
        <v>2634</v>
      </c>
      <c r="F203" s="398" t="s">
        <v>1626</v>
      </c>
      <c r="G203" s="400" t="s">
        <v>325</v>
      </c>
      <c r="H203" s="398" t="s">
        <v>281</v>
      </c>
      <c r="I203" s="405" t="s">
        <v>963</v>
      </c>
      <c r="J203" s="131" t="str">
        <f t="shared" si="3"/>
        <v>13</v>
      </c>
    </row>
    <row r="204" spans="1:10" s="114" customFormat="1" ht="24" hidden="1" customHeight="1">
      <c r="A204" s="398">
        <v>24</v>
      </c>
      <c r="B204" s="132" t="s">
        <v>1845</v>
      </c>
      <c r="C204" s="439" t="s">
        <v>1846</v>
      </c>
      <c r="D204" s="440" t="s">
        <v>340</v>
      </c>
      <c r="E204" s="398" t="s">
        <v>332</v>
      </c>
      <c r="F204" s="398" t="s">
        <v>1626</v>
      </c>
      <c r="G204" s="398"/>
      <c r="H204" s="398" t="s">
        <v>281</v>
      </c>
      <c r="I204" s="401" t="s">
        <v>961</v>
      </c>
      <c r="J204" s="131" t="str">
        <f t="shared" si="3"/>
        <v>13</v>
      </c>
    </row>
    <row r="205" spans="1:10" s="114" customFormat="1" ht="24" hidden="1" customHeight="1">
      <c r="A205" s="398">
        <v>25</v>
      </c>
      <c r="B205" s="132" t="s">
        <v>1659</v>
      </c>
      <c r="C205" s="439" t="s">
        <v>1660</v>
      </c>
      <c r="D205" s="440" t="s">
        <v>340</v>
      </c>
      <c r="E205" s="398" t="s">
        <v>1661</v>
      </c>
      <c r="F205" s="398" t="s">
        <v>1626</v>
      </c>
      <c r="G205" s="398"/>
      <c r="H205" s="398" t="s">
        <v>281</v>
      </c>
      <c r="I205" s="401"/>
      <c r="J205" s="131" t="str">
        <f t="shared" si="3"/>
        <v>13</v>
      </c>
    </row>
    <row r="206" spans="1:10" s="114" customFormat="1" ht="24" hidden="1" customHeight="1">
      <c r="A206" s="398">
        <v>26</v>
      </c>
      <c r="B206" s="132" t="s">
        <v>1847</v>
      </c>
      <c r="C206" s="439" t="s">
        <v>1848</v>
      </c>
      <c r="D206" s="440" t="s">
        <v>340</v>
      </c>
      <c r="E206" s="398" t="s">
        <v>1849</v>
      </c>
      <c r="F206" s="398" t="s">
        <v>1626</v>
      </c>
      <c r="G206" s="398"/>
      <c r="H206" s="398" t="s">
        <v>281</v>
      </c>
      <c r="I206" s="401" t="s">
        <v>961</v>
      </c>
      <c r="J206" s="131" t="str">
        <f t="shared" si="3"/>
        <v>13</v>
      </c>
    </row>
    <row r="207" spans="1:10" s="114" customFormat="1" ht="24" hidden="1" customHeight="1">
      <c r="A207" s="398">
        <v>27</v>
      </c>
      <c r="B207" s="132" t="s">
        <v>1850</v>
      </c>
      <c r="C207" s="439" t="s">
        <v>1851</v>
      </c>
      <c r="D207" s="440" t="s">
        <v>215</v>
      </c>
      <c r="E207" s="398" t="s">
        <v>1852</v>
      </c>
      <c r="F207" s="398" t="s">
        <v>1626</v>
      </c>
      <c r="G207" s="398"/>
      <c r="H207" s="398" t="s">
        <v>281</v>
      </c>
      <c r="I207" s="399" t="s">
        <v>961</v>
      </c>
      <c r="J207" s="131" t="str">
        <f t="shared" si="3"/>
        <v>13</v>
      </c>
    </row>
    <row r="208" spans="1:10" s="114" customFormat="1" ht="24" hidden="1" customHeight="1">
      <c r="A208" s="398">
        <v>28</v>
      </c>
      <c r="B208" s="132" t="s">
        <v>1662</v>
      </c>
      <c r="C208" s="439" t="s">
        <v>1663</v>
      </c>
      <c r="D208" s="440" t="s">
        <v>343</v>
      </c>
      <c r="E208" s="398" t="s">
        <v>1664</v>
      </c>
      <c r="F208" s="398" t="s">
        <v>1626</v>
      </c>
      <c r="G208" s="400" t="s">
        <v>336</v>
      </c>
      <c r="H208" s="398" t="s">
        <v>281</v>
      </c>
      <c r="I208" s="401"/>
      <c r="J208" s="131" t="str">
        <f t="shared" si="3"/>
        <v>13</v>
      </c>
    </row>
    <row r="209" spans="1:10" s="114" customFormat="1" ht="24" hidden="1" customHeight="1">
      <c r="A209" s="398">
        <v>29</v>
      </c>
      <c r="B209" s="132" t="s">
        <v>1853</v>
      </c>
      <c r="C209" s="439" t="s">
        <v>212</v>
      </c>
      <c r="D209" s="440" t="s">
        <v>993</v>
      </c>
      <c r="E209" s="398" t="s">
        <v>1026</v>
      </c>
      <c r="F209" s="398" t="s">
        <v>1626</v>
      </c>
      <c r="G209" s="398"/>
      <c r="H209" s="398" t="s">
        <v>486</v>
      </c>
      <c r="I209" s="401" t="s">
        <v>961</v>
      </c>
      <c r="J209" s="131" t="str">
        <f t="shared" si="3"/>
        <v>13</v>
      </c>
    </row>
    <row r="210" spans="1:10" s="114" customFormat="1" ht="24" hidden="1" customHeight="1">
      <c r="A210" s="398">
        <v>30</v>
      </c>
      <c r="B210" s="132" t="s">
        <v>1854</v>
      </c>
      <c r="C210" s="439" t="s">
        <v>1855</v>
      </c>
      <c r="D210" s="440" t="s">
        <v>993</v>
      </c>
      <c r="E210" s="398" t="s">
        <v>1856</v>
      </c>
      <c r="F210" s="398" t="s">
        <v>1626</v>
      </c>
      <c r="G210" s="398"/>
      <c r="H210" s="398" t="s">
        <v>486</v>
      </c>
      <c r="I210" s="401" t="s">
        <v>961</v>
      </c>
      <c r="J210" s="131" t="str">
        <f t="shared" si="3"/>
        <v>13</v>
      </c>
    </row>
    <row r="211" spans="1:10" s="114" customFormat="1" ht="24" hidden="1" customHeight="1">
      <c r="A211" s="398">
        <v>31</v>
      </c>
      <c r="B211" s="132" t="s">
        <v>1665</v>
      </c>
      <c r="C211" s="439" t="s">
        <v>1430</v>
      </c>
      <c r="D211" s="440" t="s">
        <v>344</v>
      </c>
      <c r="E211" s="398" t="s">
        <v>280</v>
      </c>
      <c r="F211" s="398" t="s">
        <v>1626</v>
      </c>
      <c r="G211" s="398"/>
      <c r="H211" s="398" t="s">
        <v>281</v>
      </c>
      <c r="I211" s="401"/>
      <c r="J211" s="131" t="str">
        <f t="shared" si="3"/>
        <v>13</v>
      </c>
    </row>
    <row r="212" spans="1:10" s="114" customFormat="1" ht="24" hidden="1" customHeight="1">
      <c r="A212" s="398">
        <v>32</v>
      </c>
      <c r="B212" s="132" t="s">
        <v>1666</v>
      </c>
      <c r="C212" s="439" t="s">
        <v>282</v>
      </c>
      <c r="D212" s="440" t="s">
        <v>221</v>
      </c>
      <c r="E212" s="398" t="s">
        <v>1667</v>
      </c>
      <c r="F212" s="398" t="s">
        <v>1626</v>
      </c>
      <c r="G212" s="398"/>
      <c r="H212" s="398"/>
      <c r="I212" s="401"/>
      <c r="J212" s="131" t="str">
        <f t="shared" si="3"/>
        <v>13</v>
      </c>
    </row>
    <row r="213" spans="1:10" s="114" customFormat="1" ht="24" hidden="1" customHeight="1">
      <c r="A213" s="398">
        <v>33</v>
      </c>
      <c r="B213" s="132" t="s">
        <v>1857</v>
      </c>
      <c r="C213" s="439" t="s">
        <v>1019</v>
      </c>
      <c r="D213" s="440" t="s">
        <v>221</v>
      </c>
      <c r="E213" s="398" t="s">
        <v>1858</v>
      </c>
      <c r="F213" s="398" t="s">
        <v>1626</v>
      </c>
      <c r="G213" s="398"/>
      <c r="H213" s="398" t="s">
        <v>281</v>
      </c>
      <c r="I213" s="401" t="s">
        <v>961</v>
      </c>
      <c r="J213" s="131" t="str">
        <f t="shared" si="3"/>
        <v>13</v>
      </c>
    </row>
    <row r="214" spans="1:10" s="114" customFormat="1" ht="24" hidden="1" customHeight="1">
      <c r="A214" s="398">
        <v>34</v>
      </c>
      <c r="B214" s="132" t="s">
        <v>1668</v>
      </c>
      <c r="C214" s="439" t="s">
        <v>193</v>
      </c>
      <c r="D214" s="440" t="s">
        <v>223</v>
      </c>
      <c r="E214" s="398" t="s">
        <v>1669</v>
      </c>
      <c r="F214" s="398" t="s">
        <v>1626</v>
      </c>
      <c r="G214" s="398"/>
      <c r="H214" s="398" t="s">
        <v>281</v>
      </c>
      <c r="I214" s="401"/>
      <c r="J214" s="131" t="str">
        <f t="shared" si="3"/>
        <v>13</v>
      </c>
    </row>
    <row r="215" spans="1:10" s="114" customFormat="1" ht="24" hidden="1" customHeight="1">
      <c r="A215" s="398">
        <v>35</v>
      </c>
      <c r="B215" s="132" t="s">
        <v>1670</v>
      </c>
      <c r="C215" s="439" t="s">
        <v>1671</v>
      </c>
      <c r="D215" s="440" t="s">
        <v>973</v>
      </c>
      <c r="E215" s="398" t="s">
        <v>1672</v>
      </c>
      <c r="F215" s="398" t="s">
        <v>1626</v>
      </c>
      <c r="G215" s="398"/>
      <c r="H215" s="398" t="s">
        <v>281</v>
      </c>
      <c r="I215" s="401"/>
      <c r="J215" s="131" t="str">
        <f t="shared" si="3"/>
        <v>13</v>
      </c>
    </row>
    <row r="216" spans="1:10" s="114" customFormat="1" ht="24" hidden="1" customHeight="1">
      <c r="A216" s="398">
        <v>36</v>
      </c>
      <c r="B216" s="132" t="s">
        <v>1673</v>
      </c>
      <c r="C216" s="439" t="s">
        <v>1674</v>
      </c>
      <c r="D216" s="440" t="s">
        <v>352</v>
      </c>
      <c r="E216" s="398" t="s">
        <v>975</v>
      </c>
      <c r="F216" s="398" t="s">
        <v>1626</v>
      </c>
      <c r="G216" s="398"/>
      <c r="H216" s="398" t="s">
        <v>281</v>
      </c>
      <c r="I216" s="401"/>
      <c r="J216" s="131" t="str">
        <f t="shared" si="3"/>
        <v>13</v>
      </c>
    </row>
    <row r="217" spans="1:10" s="114" customFormat="1" ht="24" hidden="1" customHeight="1">
      <c r="A217" s="398">
        <v>37</v>
      </c>
      <c r="B217" s="132" t="s">
        <v>1675</v>
      </c>
      <c r="C217" s="439" t="s">
        <v>1676</v>
      </c>
      <c r="D217" s="440" t="s">
        <v>1677</v>
      </c>
      <c r="E217" s="398" t="s">
        <v>976</v>
      </c>
      <c r="F217" s="398" t="s">
        <v>1626</v>
      </c>
      <c r="G217" s="398"/>
      <c r="H217" s="398" t="s">
        <v>281</v>
      </c>
      <c r="I217" s="401"/>
      <c r="J217" s="131" t="str">
        <f t="shared" si="3"/>
        <v>13</v>
      </c>
    </row>
    <row r="218" spans="1:10" s="114" customFormat="1" ht="24" hidden="1" customHeight="1">
      <c r="A218" s="398">
        <v>38</v>
      </c>
      <c r="B218" s="132" t="s">
        <v>1678</v>
      </c>
      <c r="C218" s="439" t="s">
        <v>1679</v>
      </c>
      <c r="D218" s="440" t="s">
        <v>468</v>
      </c>
      <c r="E218" s="398" t="s">
        <v>977</v>
      </c>
      <c r="F218" s="398" t="s">
        <v>1626</v>
      </c>
      <c r="G218" s="398"/>
      <c r="H218" s="398" t="s">
        <v>281</v>
      </c>
      <c r="I218" s="401"/>
      <c r="J218" s="131" t="str">
        <f t="shared" si="3"/>
        <v>13</v>
      </c>
    </row>
    <row r="219" spans="1:10" s="114" customFormat="1" ht="24" hidden="1" customHeight="1">
      <c r="A219" s="398">
        <v>39</v>
      </c>
      <c r="B219" s="132" t="s">
        <v>1680</v>
      </c>
      <c r="C219" s="439" t="s">
        <v>367</v>
      </c>
      <c r="D219" s="440" t="s">
        <v>226</v>
      </c>
      <c r="E219" s="398" t="s">
        <v>978</v>
      </c>
      <c r="F219" s="398" t="s">
        <v>1626</v>
      </c>
      <c r="G219" s="398"/>
      <c r="H219" s="398" t="s">
        <v>281</v>
      </c>
      <c r="I219" s="401"/>
      <c r="J219" s="131" t="str">
        <f t="shared" si="3"/>
        <v>13</v>
      </c>
    </row>
    <row r="220" spans="1:10" s="114" customFormat="1" ht="24" hidden="1" customHeight="1">
      <c r="A220" s="398">
        <v>40</v>
      </c>
      <c r="B220" s="132" t="s">
        <v>1681</v>
      </c>
      <c r="C220" s="439" t="s">
        <v>201</v>
      </c>
      <c r="D220" s="440" t="s">
        <v>228</v>
      </c>
      <c r="E220" s="398" t="s">
        <v>976</v>
      </c>
      <c r="F220" s="398" t="s">
        <v>1626</v>
      </c>
      <c r="G220" s="400" t="s">
        <v>330</v>
      </c>
      <c r="H220" s="398" t="s">
        <v>281</v>
      </c>
      <c r="I220" s="401"/>
      <c r="J220" s="131" t="str">
        <f t="shared" si="3"/>
        <v>13</v>
      </c>
    </row>
    <row r="221" spans="1:10" s="114" customFormat="1" ht="24" hidden="1" customHeight="1">
      <c r="A221" s="398">
        <v>41</v>
      </c>
      <c r="B221" s="132" t="s">
        <v>1682</v>
      </c>
      <c r="C221" s="439" t="s">
        <v>1683</v>
      </c>
      <c r="D221" s="440" t="s">
        <v>979</v>
      </c>
      <c r="E221" s="398" t="s">
        <v>980</v>
      </c>
      <c r="F221" s="398" t="s">
        <v>1626</v>
      </c>
      <c r="G221" s="398"/>
      <c r="H221" s="398" t="s">
        <v>281</v>
      </c>
      <c r="I221" s="401"/>
      <c r="J221" s="131" t="str">
        <f t="shared" si="3"/>
        <v>13</v>
      </c>
    </row>
    <row r="222" spans="1:10" s="114" customFormat="1" ht="24" hidden="1" customHeight="1">
      <c r="A222" s="398">
        <v>42</v>
      </c>
      <c r="B222" s="132" t="s">
        <v>1684</v>
      </c>
      <c r="C222" s="439" t="s">
        <v>1685</v>
      </c>
      <c r="D222" s="440" t="s">
        <v>358</v>
      </c>
      <c r="E222" s="398" t="s">
        <v>981</v>
      </c>
      <c r="F222" s="398" t="s">
        <v>1626</v>
      </c>
      <c r="G222" s="398"/>
      <c r="H222" s="398" t="s">
        <v>281</v>
      </c>
      <c r="I222" s="401"/>
      <c r="J222" s="131" t="str">
        <f t="shared" si="3"/>
        <v>13</v>
      </c>
    </row>
    <row r="223" spans="1:10" s="114" customFormat="1" ht="24" hidden="1" customHeight="1">
      <c r="A223" s="398">
        <v>43</v>
      </c>
      <c r="B223" s="132" t="s">
        <v>1686</v>
      </c>
      <c r="C223" s="439" t="s">
        <v>1687</v>
      </c>
      <c r="D223" s="440" t="s">
        <v>420</v>
      </c>
      <c r="E223" s="398" t="s">
        <v>1688</v>
      </c>
      <c r="F223" s="398" t="s">
        <v>1626</v>
      </c>
      <c r="G223" s="398"/>
      <c r="H223" s="398" t="s">
        <v>281</v>
      </c>
      <c r="I223" s="401"/>
      <c r="J223" s="131" t="str">
        <f t="shared" si="3"/>
        <v>13</v>
      </c>
    </row>
    <row r="224" spans="1:10" s="114" customFormat="1" ht="24" hidden="1" customHeight="1">
      <c r="A224" s="398">
        <v>44</v>
      </c>
      <c r="B224" s="132" t="s">
        <v>1689</v>
      </c>
      <c r="C224" s="439" t="s">
        <v>395</v>
      </c>
      <c r="D224" s="440" t="s">
        <v>420</v>
      </c>
      <c r="E224" s="398" t="s">
        <v>983</v>
      </c>
      <c r="F224" s="398" t="s">
        <v>1626</v>
      </c>
      <c r="G224" s="398"/>
      <c r="H224" s="398" t="s">
        <v>281</v>
      </c>
      <c r="I224" s="401"/>
      <c r="J224" s="131" t="str">
        <f t="shared" si="3"/>
        <v>13</v>
      </c>
    </row>
    <row r="225" spans="1:10" s="114" customFormat="1" ht="24" hidden="1" customHeight="1">
      <c r="A225" s="398">
        <v>45</v>
      </c>
      <c r="B225" s="132" t="s">
        <v>1690</v>
      </c>
      <c r="C225" s="439" t="s">
        <v>1691</v>
      </c>
      <c r="D225" s="440" t="s">
        <v>233</v>
      </c>
      <c r="E225" s="398" t="s">
        <v>1692</v>
      </c>
      <c r="F225" s="398" t="s">
        <v>1626</v>
      </c>
      <c r="G225" s="398"/>
      <c r="H225" s="398" t="s">
        <v>281</v>
      </c>
      <c r="I225" s="401"/>
      <c r="J225" s="131" t="str">
        <f t="shared" si="3"/>
        <v>13</v>
      </c>
    </row>
    <row r="226" spans="1:10" s="114" customFormat="1" ht="24" hidden="1" customHeight="1">
      <c r="A226" s="398">
        <v>46</v>
      </c>
      <c r="B226" s="132" t="s">
        <v>1693</v>
      </c>
      <c r="C226" s="439" t="s">
        <v>1694</v>
      </c>
      <c r="D226" s="440" t="s">
        <v>233</v>
      </c>
      <c r="E226" s="398" t="s">
        <v>1695</v>
      </c>
      <c r="F226" s="398" t="s">
        <v>1626</v>
      </c>
      <c r="G226" s="398"/>
      <c r="H226" s="398" t="s">
        <v>281</v>
      </c>
      <c r="I226" s="401"/>
      <c r="J226" s="131" t="str">
        <f t="shared" si="3"/>
        <v>13</v>
      </c>
    </row>
    <row r="227" spans="1:10" s="114" customFormat="1" ht="24" hidden="1" customHeight="1">
      <c r="A227" s="398">
        <v>47</v>
      </c>
      <c r="B227" s="132" t="s">
        <v>1696</v>
      </c>
      <c r="C227" s="439" t="s">
        <v>470</v>
      </c>
      <c r="D227" s="440" t="s">
        <v>1697</v>
      </c>
      <c r="E227" s="398" t="s">
        <v>1698</v>
      </c>
      <c r="F227" s="398" t="s">
        <v>1626</v>
      </c>
      <c r="G227" s="398"/>
      <c r="H227" s="398" t="s">
        <v>281</v>
      </c>
      <c r="I227" s="401"/>
      <c r="J227" s="131" t="str">
        <f t="shared" si="3"/>
        <v>13</v>
      </c>
    </row>
    <row r="228" spans="1:10" s="114" customFormat="1" ht="24" hidden="1" customHeight="1">
      <c r="A228" s="398">
        <v>48</v>
      </c>
      <c r="B228" s="132" t="s">
        <v>1699</v>
      </c>
      <c r="C228" s="439" t="s">
        <v>1700</v>
      </c>
      <c r="D228" s="440" t="s">
        <v>237</v>
      </c>
      <c r="E228" s="398" t="s">
        <v>390</v>
      </c>
      <c r="F228" s="398" t="s">
        <v>1626</v>
      </c>
      <c r="G228" s="398"/>
      <c r="H228" s="398" t="s">
        <v>281</v>
      </c>
      <c r="I228" s="401"/>
      <c r="J228" s="131" t="str">
        <f t="shared" si="3"/>
        <v>13</v>
      </c>
    </row>
    <row r="229" spans="1:10" s="114" customFormat="1" ht="24" hidden="1" customHeight="1">
      <c r="A229" s="398">
        <v>49</v>
      </c>
      <c r="B229" s="132" t="s">
        <v>1701</v>
      </c>
      <c r="C229" s="439" t="s">
        <v>198</v>
      </c>
      <c r="D229" s="440" t="s">
        <v>237</v>
      </c>
      <c r="E229" s="398" t="s">
        <v>1702</v>
      </c>
      <c r="F229" s="398" t="s">
        <v>1626</v>
      </c>
      <c r="G229" s="398"/>
      <c r="H229" s="398" t="s">
        <v>281</v>
      </c>
      <c r="I229" s="399"/>
      <c r="J229" s="131" t="str">
        <f t="shared" si="3"/>
        <v>13</v>
      </c>
    </row>
    <row r="230" spans="1:10" s="115" customFormat="1" ht="24" hidden="1" customHeight="1">
      <c r="A230" s="398">
        <v>50</v>
      </c>
      <c r="B230" s="132" t="s">
        <v>1703</v>
      </c>
      <c r="C230" s="439" t="s">
        <v>201</v>
      </c>
      <c r="D230" s="440" t="s">
        <v>984</v>
      </c>
      <c r="E230" s="398" t="s">
        <v>1704</v>
      </c>
      <c r="F230" s="398" t="s">
        <v>1626</v>
      </c>
      <c r="G230" s="398"/>
      <c r="H230" s="398" t="s">
        <v>281</v>
      </c>
      <c r="I230" s="401"/>
      <c r="J230" s="131" t="str">
        <f t="shared" si="3"/>
        <v>13</v>
      </c>
    </row>
    <row r="231" spans="1:10" s="114" customFormat="1" ht="24" hidden="1" customHeight="1" thickBot="1">
      <c r="A231" s="406">
        <v>51</v>
      </c>
      <c r="B231" s="132" t="s">
        <v>1870</v>
      </c>
      <c r="C231" s="441" t="s">
        <v>1871</v>
      </c>
      <c r="D231" s="442" t="s">
        <v>1029</v>
      </c>
      <c r="E231" s="406" t="s">
        <v>1872</v>
      </c>
      <c r="F231" s="406" t="s">
        <v>1626</v>
      </c>
      <c r="G231" s="406"/>
      <c r="H231" s="406" t="s">
        <v>486</v>
      </c>
      <c r="I231" s="417" t="s">
        <v>961</v>
      </c>
      <c r="J231" s="131" t="str">
        <f t="shared" si="3"/>
        <v>13</v>
      </c>
    </row>
    <row r="232" spans="1:10" s="114" customFormat="1" ht="24" hidden="1" customHeight="1">
      <c r="A232" s="408">
        <v>1</v>
      </c>
      <c r="B232" s="132" t="s">
        <v>1705</v>
      </c>
      <c r="C232" s="443" t="s">
        <v>1706</v>
      </c>
      <c r="D232" s="444" t="s">
        <v>279</v>
      </c>
      <c r="E232" s="408" t="s">
        <v>1707</v>
      </c>
      <c r="F232" s="409" t="s">
        <v>1708</v>
      </c>
      <c r="G232" s="408"/>
      <c r="H232" s="408" t="s">
        <v>486</v>
      </c>
      <c r="I232" s="410"/>
      <c r="J232" s="131" t="str">
        <f t="shared" si="3"/>
        <v>13</v>
      </c>
    </row>
    <row r="233" spans="1:10" s="114" customFormat="1" ht="24" hidden="1" customHeight="1">
      <c r="A233" s="398">
        <v>2</v>
      </c>
      <c r="B233" s="132" t="s">
        <v>1709</v>
      </c>
      <c r="C233" s="439" t="s">
        <v>1710</v>
      </c>
      <c r="D233" s="440" t="s">
        <v>985</v>
      </c>
      <c r="E233" s="398" t="s">
        <v>1669</v>
      </c>
      <c r="F233" s="398" t="s">
        <v>1708</v>
      </c>
      <c r="G233" s="398"/>
      <c r="H233" s="398" t="s">
        <v>281</v>
      </c>
      <c r="I233" s="401"/>
      <c r="J233" s="131" t="str">
        <f t="shared" si="3"/>
        <v>13</v>
      </c>
    </row>
    <row r="234" spans="1:10" s="114" customFormat="1" ht="24" hidden="1" customHeight="1">
      <c r="A234" s="398">
        <v>3</v>
      </c>
      <c r="B234" s="132" t="s">
        <v>1711</v>
      </c>
      <c r="C234" s="439" t="s">
        <v>195</v>
      </c>
      <c r="D234" s="440" t="s">
        <v>425</v>
      </c>
      <c r="E234" s="398" t="s">
        <v>1712</v>
      </c>
      <c r="F234" s="398" t="s">
        <v>1708</v>
      </c>
      <c r="G234" s="398"/>
      <c r="H234" s="398" t="s">
        <v>281</v>
      </c>
      <c r="I234" s="401"/>
      <c r="J234" s="131" t="str">
        <f t="shared" si="3"/>
        <v>13</v>
      </c>
    </row>
    <row r="235" spans="1:10" s="114" customFormat="1" ht="24" hidden="1" customHeight="1">
      <c r="A235" s="398">
        <v>4</v>
      </c>
      <c r="B235" s="132" t="s">
        <v>1713</v>
      </c>
      <c r="C235" s="439" t="s">
        <v>1714</v>
      </c>
      <c r="D235" s="440" t="s">
        <v>362</v>
      </c>
      <c r="E235" s="398" t="s">
        <v>349</v>
      </c>
      <c r="F235" s="398" t="s">
        <v>1708</v>
      </c>
      <c r="G235" s="398"/>
      <c r="H235" s="398" t="s">
        <v>281</v>
      </c>
      <c r="I235" s="401"/>
      <c r="J235" s="131" t="str">
        <f t="shared" si="3"/>
        <v>13</v>
      </c>
    </row>
    <row r="236" spans="1:10" s="114" customFormat="1" ht="24" hidden="1" customHeight="1">
      <c r="A236" s="398">
        <v>5</v>
      </c>
      <c r="B236" s="132" t="s">
        <v>1715</v>
      </c>
      <c r="C236" s="439" t="s">
        <v>1716</v>
      </c>
      <c r="D236" s="440" t="s">
        <v>362</v>
      </c>
      <c r="E236" s="398" t="s">
        <v>1717</v>
      </c>
      <c r="F236" s="398" t="s">
        <v>1708</v>
      </c>
      <c r="G236" s="398"/>
      <c r="H236" s="398" t="s">
        <v>281</v>
      </c>
      <c r="I236" s="401"/>
      <c r="J236" s="131" t="str">
        <f t="shared" si="3"/>
        <v>13</v>
      </c>
    </row>
    <row r="237" spans="1:10" s="114" customFormat="1" ht="24" hidden="1" customHeight="1">
      <c r="A237" s="398">
        <v>6</v>
      </c>
      <c r="B237" s="132" t="s">
        <v>1718</v>
      </c>
      <c r="C237" s="439" t="s">
        <v>470</v>
      </c>
      <c r="D237" s="440" t="s">
        <v>196</v>
      </c>
      <c r="E237" s="398" t="s">
        <v>1719</v>
      </c>
      <c r="F237" s="398" t="s">
        <v>1708</v>
      </c>
      <c r="G237" s="398"/>
      <c r="H237" s="398" t="s">
        <v>281</v>
      </c>
      <c r="I237" s="401"/>
      <c r="J237" s="131" t="str">
        <f t="shared" si="3"/>
        <v>13</v>
      </c>
    </row>
    <row r="238" spans="1:10" s="114" customFormat="1" ht="24" hidden="1" customHeight="1">
      <c r="A238" s="398">
        <v>7</v>
      </c>
      <c r="B238" s="132" t="s">
        <v>1873</v>
      </c>
      <c r="C238" s="439" t="s">
        <v>323</v>
      </c>
      <c r="D238" s="440" t="s">
        <v>287</v>
      </c>
      <c r="E238" s="398" t="s">
        <v>388</v>
      </c>
      <c r="F238" s="398" t="s">
        <v>1708</v>
      </c>
      <c r="G238" s="412"/>
      <c r="H238" s="398" t="s">
        <v>486</v>
      </c>
      <c r="I238" s="418" t="s">
        <v>961</v>
      </c>
      <c r="J238" s="131" t="str">
        <f t="shared" si="3"/>
        <v>13</v>
      </c>
    </row>
    <row r="239" spans="1:10" s="114" customFormat="1" ht="24" hidden="1" customHeight="1">
      <c r="A239" s="398">
        <v>8</v>
      </c>
      <c r="B239" s="132" t="s">
        <v>1874</v>
      </c>
      <c r="C239" s="439" t="s">
        <v>150</v>
      </c>
      <c r="D239" s="440" t="s">
        <v>200</v>
      </c>
      <c r="E239" s="398" t="s">
        <v>1875</v>
      </c>
      <c r="F239" s="398" t="s">
        <v>1708</v>
      </c>
      <c r="G239" s="412" t="s">
        <v>325</v>
      </c>
      <c r="H239" s="398" t="s">
        <v>281</v>
      </c>
      <c r="I239" s="418" t="s">
        <v>2635</v>
      </c>
      <c r="J239" s="131" t="str">
        <f t="shared" si="3"/>
        <v>13</v>
      </c>
    </row>
    <row r="240" spans="1:10" s="114" customFormat="1" ht="24" hidden="1" customHeight="1">
      <c r="A240" s="398">
        <v>9</v>
      </c>
      <c r="B240" s="132" t="s">
        <v>1720</v>
      </c>
      <c r="C240" s="439" t="s">
        <v>1721</v>
      </c>
      <c r="D240" s="440" t="s">
        <v>202</v>
      </c>
      <c r="E240" s="398" t="s">
        <v>1722</v>
      </c>
      <c r="F240" s="398" t="s">
        <v>1708</v>
      </c>
      <c r="G240" s="398"/>
      <c r="H240" s="398" t="s">
        <v>281</v>
      </c>
      <c r="I240" s="401"/>
      <c r="J240" s="131" t="str">
        <f t="shared" si="3"/>
        <v>13</v>
      </c>
    </row>
    <row r="241" spans="1:10" s="114" customFormat="1" ht="24" hidden="1" customHeight="1">
      <c r="A241" s="398">
        <v>10</v>
      </c>
      <c r="B241" s="132" t="s">
        <v>1723</v>
      </c>
      <c r="C241" s="439" t="s">
        <v>1724</v>
      </c>
      <c r="D241" s="440" t="s">
        <v>436</v>
      </c>
      <c r="E241" s="398" t="s">
        <v>987</v>
      </c>
      <c r="F241" s="398" t="s">
        <v>1708</v>
      </c>
      <c r="G241" s="398"/>
      <c r="H241" s="398" t="s">
        <v>281</v>
      </c>
      <c r="I241" s="401"/>
      <c r="J241" s="131" t="str">
        <f t="shared" si="3"/>
        <v>13</v>
      </c>
    </row>
    <row r="242" spans="1:10" s="115" customFormat="1" ht="24" hidden="1" customHeight="1">
      <c r="A242" s="398">
        <v>11</v>
      </c>
      <c r="B242" s="132" t="s">
        <v>1725</v>
      </c>
      <c r="C242" s="439" t="s">
        <v>1726</v>
      </c>
      <c r="D242" s="440" t="s">
        <v>205</v>
      </c>
      <c r="E242" s="398" t="s">
        <v>1727</v>
      </c>
      <c r="F242" s="398" t="s">
        <v>1708</v>
      </c>
      <c r="G242" s="398"/>
      <c r="H242" s="398" t="s">
        <v>281</v>
      </c>
      <c r="I242" s="401"/>
      <c r="J242" s="131" t="str">
        <f t="shared" si="3"/>
        <v>13</v>
      </c>
    </row>
    <row r="243" spans="1:10" s="115" customFormat="1" ht="24" hidden="1" customHeight="1">
      <c r="A243" s="398">
        <v>12</v>
      </c>
      <c r="B243" s="132" t="s">
        <v>1728</v>
      </c>
      <c r="C243" s="439" t="s">
        <v>1729</v>
      </c>
      <c r="D243" s="440" t="s">
        <v>404</v>
      </c>
      <c r="E243" s="398" t="s">
        <v>988</v>
      </c>
      <c r="F243" s="398" t="s">
        <v>1708</v>
      </c>
      <c r="G243" s="400"/>
      <c r="H243" s="398" t="s">
        <v>281</v>
      </c>
      <c r="I243" s="401"/>
      <c r="J243" s="131" t="str">
        <f t="shared" si="3"/>
        <v>13</v>
      </c>
    </row>
    <row r="244" spans="1:10" s="114" customFormat="1" ht="24" hidden="1" customHeight="1">
      <c r="A244" s="398">
        <v>13</v>
      </c>
      <c r="B244" s="132" t="s">
        <v>1730</v>
      </c>
      <c r="C244" s="439" t="s">
        <v>470</v>
      </c>
      <c r="D244" s="440" t="s">
        <v>1354</v>
      </c>
      <c r="E244" s="398" t="s">
        <v>1731</v>
      </c>
      <c r="F244" s="398" t="s">
        <v>1708</v>
      </c>
      <c r="G244" s="398"/>
      <c r="H244" s="398" t="s">
        <v>281</v>
      </c>
      <c r="I244" s="401"/>
      <c r="J244" s="131" t="str">
        <f t="shared" si="3"/>
        <v>13</v>
      </c>
    </row>
    <row r="245" spans="1:10" s="114" customFormat="1" ht="24" hidden="1" customHeight="1">
      <c r="A245" s="398">
        <v>14</v>
      </c>
      <c r="B245" s="132" t="s">
        <v>1732</v>
      </c>
      <c r="C245" s="439" t="s">
        <v>1733</v>
      </c>
      <c r="D245" s="440" t="s">
        <v>293</v>
      </c>
      <c r="E245" s="398" t="s">
        <v>286</v>
      </c>
      <c r="F245" s="398" t="s">
        <v>1708</v>
      </c>
      <c r="G245" s="400" t="s">
        <v>330</v>
      </c>
      <c r="H245" s="398" t="s">
        <v>486</v>
      </c>
      <c r="I245" s="401" t="s">
        <v>173</v>
      </c>
      <c r="J245" s="131" t="str">
        <f t="shared" si="3"/>
        <v>13</v>
      </c>
    </row>
    <row r="246" spans="1:10" s="115" customFormat="1" ht="24" hidden="1" customHeight="1">
      <c r="A246" s="398">
        <v>15</v>
      </c>
      <c r="B246" s="132" t="s">
        <v>1734</v>
      </c>
      <c r="C246" s="439" t="s">
        <v>191</v>
      </c>
      <c r="D246" s="440" t="s">
        <v>409</v>
      </c>
      <c r="E246" s="398" t="s">
        <v>1735</v>
      </c>
      <c r="F246" s="398" t="s">
        <v>1708</v>
      </c>
      <c r="G246" s="398"/>
      <c r="H246" s="398" t="s">
        <v>281</v>
      </c>
      <c r="I246" s="401"/>
      <c r="J246" s="131" t="str">
        <f t="shared" si="3"/>
        <v>13</v>
      </c>
    </row>
    <row r="247" spans="1:10" s="114" customFormat="1" ht="24" hidden="1" customHeight="1">
      <c r="A247" s="398">
        <v>16</v>
      </c>
      <c r="B247" s="132" t="s">
        <v>1736</v>
      </c>
      <c r="C247" s="439" t="s">
        <v>1737</v>
      </c>
      <c r="D247" s="440" t="s">
        <v>1738</v>
      </c>
      <c r="E247" s="398" t="s">
        <v>1739</v>
      </c>
      <c r="F247" s="398" t="s">
        <v>1708</v>
      </c>
      <c r="G247" s="398"/>
      <c r="H247" s="398" t="s">
        <v>281</v>
      </c>
      <c r="I247" s="401"/>
      <c r="J247" s="131" t="str">
        <f t="shared" si="3"/>
        <v>13</v>
      </c>
    </row>
    <row r="248" spans="1:10" s="114" customFormat="1" ht="24" hidden="1" customHeight="1">
      <c r="A248" s="398">
        <v>17</v>
      </c>
      <c r="B248" s="132" t="s">
        <v>1740</v>
      </c>
      <c r="C248" s="439" t="s">
        <v>421</v>
      </c>
      <c r="D248" s="440" t="s">
        <v>328</v>
      </c>
      <c r="E248" s="398" t="s">
        <v>1741</v>
      </c>
      <c r="F248" s="398" t="s">
        <v>1708</v>
      </c>
      <c r="G248" s="398"/>
      <c r="H248" s="398" t="s">
        <v>281</v>
      </c>
      <c r="I248" s="401"/>
      <c r="J248" s="131" t="str">
        <f t="shared" si="3"/>
        <v>13</v>
      </c>
    </row>
    <row r="249" spans="1:10" s="114" customFormat="1" ht="24" hidden="1" customHeight="1">
      <c r="A249" s="398">
        <v>18</v>
      </c>
      <c r="B249" s="132" t="s">
        <v>1742</v>
      </c>
      <c r="C249" s="439" t="s">
        <v>1743</v>
      </c>
      <c r="D249" s="440" t="s">
        <v>989</v>
      </c>
      <c r="E249" s="398" t="s">
        <v>1744</v>
      </c>
      <c r="F249" s="398" t="s">
        <v>1708</v>
      </c>
      <c r="G249" s="398"/>
      <c r="H249" s="398" t="s">
        <v>281</v>
      </c>
      <c r="I249" s="401"/>
      <c r="J249" s="131" t="str">
        <f t="shared" si="3"/>
        <v>13</v>
      </c>
    </row>
    <row r="250" spans="1:10" s="115" customFormat="1" ht="24" hidden="1" customHeight="1">
      <c r="A250" s="398">
        <v>19</v>
      </c>
      <c r="B250" s="403" t="s">
        <v>2636</v>
      </c>
      <c r="C250" s="439" t="s">
        <v>206</v>
      </c>
      <c r="D250" s="440" t="s">
        <v>211</v>
      </c>
      <c r="E250" s="398" t="s">
        <v>2637</v>
      </c>
      <c r="F250" s="398" t="s">
        <v>1708</v>
      </c>
      <c r="G250" s="400" t="s">
        <v>325</v>
      </c>
      <c r="H250" s="398" t="s">
        <v>281</v>
      </c>
      <c r="I250" s="405" t="s">
        <v>2638</v>
      </c>
      <c r="J250" s="131" t="str">
        <f t="shared" si="3"/>
        <v>13</v>
      </c>
    </row>
    <row r="251" spans="1:10" s="114" customFormat="1" ht="24" hidden="1" customHeight="1">
      <c r="A251" s="398">
        <v>20</v>
      </c>
      <c r="B251" s="132" t="s">
        <v>1745</v>
      </c>
      <c r="C251" s="439" t="s">
        <v>990</v>
      </c>
      <c r="D251" s="440" t="s">
        <v>213</v>
      </c>
      <c r="E251" s="398" t="s">
        <v>1746</v>
      </c>
      <c r="F251" s="398" t="s">
        <v>1708</v>
      </c>
      <c r="G251" s="398"/>
      <c r="H251" s="398" t="s">
        <v>281</v>
      </c>
      <c r="I251" s="401"/>
      <c r="J251" s="131" t="str">
        <f t="shared" si="3"/>
        <v>13</v>
      </c>
    </row>
    <row r="252" spans="1:10" s="114" customFormat="1" ht="24" hidden="1" customHeight="1">
      <c r="A252" s="398">
        <v>21</v>
      </c>
      <c r="B252" s="132" t="s">
        <v>1747</v>
      </c>
      <c r="C252" s="439" t="s">
        <v>1748</v>
      </c>
      <c r="D252" s="440" t="s">
        <v>335</v>
      </c>
      <c r="E252" s="398" t="s">
        <v>1749</v>
      </c>
      <c r="F252" s="398" t="s">
        <v>1708</v>
      </c>
      <c r="G252" s="398"/>
      <c r="H252" s="398" t="s">
        <v>486</v>
      </c>
      <c r="I252" s="401"/>
      <c r="J252" s="131" t="str">
        <f t="shared" si="3"/>
        <v>13</v>
      </c>
    </row>
    <row r="253" spans="1:10" s="114" customFormat="1" ht="24" hidden="1" customHeight="1">
      <c r="A253" s="398">
        <v>22</v>
      </c>
      <c r="B253" s="132" t="s">
        <v>1750</v>
      </c>
      <c r="C253" s="439" t="s">
        <v>1751</v>
      </c>
      <c r="D253" s="440" t="s">
        <v>377</v>
      </c>
      <c r="E253" s="398" t="s">
        <v>991</v>
      </c>
      <c r="F253" s="398" t="s">
        <v>1708</v>
      </c>
      <c r="G253" s="400" t="s">
        <v>360</v>
      </c>
      <c r="H253" s="398" t="s">
        <v>486</v>
      </c>
      <c r="I253" s="401"/>
      <c r="J253" s="131" t="str">
        <f t="shared" si="3"/>
        <v>13</v>
      </c>
    </row>
    <row r="254" spans="1:10" s="114" customFormat="1" ht="24" hidden="1" customHeight="1">
      <c r="A254" s="398">
        <v>23</v>
      </c>
      <c r="B254" s="132" t="s">
        <v>1752</v>
      </c>
      <c r="C254" s="439" t="s">
        <v>415</v>
      </c>
      <c r="D254" s="440" t="s">
        <v>340</v>
      </c>
      <c r="E254" s="398" t="s">
        <v>1753</v>
      </c>
      <c r="F254" s="398" t="s">
        <v>1708</v>
      </c>
      <c r="G254" s="398"/>
      <c r="H254" s="398" t="s">
        <v>281</v>
      </c>
      <c r="I254" s="401"/>
      <c r="J254" s="131" t="str">
        <f t="shared" si="3"/>
        <v>13</v>
      </c>
    </row>
    <row r="255" spans="1:10" s="114" customFormat="1" ht="24" hidden="1" customHeight="1">
      <c r="A255" s="398">
        <v>24</v>
      </c>
      <c r="B255" s="132" t="s">
        <v>1754</v>
      </c>
      <c r="C255" s="439" t="s">
        <v>372</v>
      </c>
      <c r="D255" s="440" t="s">
        <v>215</v>
      </c>
      <c r="E255" s="398" t="s">
        <v>992</v>
      </c>
      <c r="F255" s="398" t="s">
        <v>1708</v>
      </c>
      <c r="G255" s="400" t="s">
        <v>336</v>
      </c>
      <c r="H255" s="398" t="s">
        <v>281</v>
      </c>
      <c r="I255" s="401"/>
      <c r="J255" s="131" t="str">
        <f t="shared" si="3"/>
        <v>13</v>
      </c>
    </row>
    <row r="256" spans="1:10" s="114" customFormat="1" ht="24" hidden="1" customHeight="1">
      <c r="A256" s="398">
        <v>25</v>
      </c>
      <c r="B256" s="132" t="s">
        <v>1755</v>
      </c>
      <c r="C256" s="439" t="s">
        <v>1756</v>
      </c>
      <c r="D256" s="440" t="s">
        <v>383</v>
      </c>
      <c r="E256" s="398" t="s">
        <v>1757</v>
      </c>
      <c r="F256" s="398" t="s">
        <v>1708</v>
      </c>
      <c r="G256" s="398"/>
      <c r="H256" s="398" t="s">
        <v>281</v>
      </c>
      <c r="I256" s="401"/>
      <c r="J256" s="131" t="str">
        <f t="shared" si="3"/>
        <v>13</v>
      </c>
    </row>
    <row r="257" spans="1:10" s="114" customFormat="1" ht="24" hidden="1" customHeight="1">
      <c r="A257" s="398">
        <v>26</v>
      </c>
      <c r="B257" s="132" t="s">
        <v>1758</v>
      </c>
      <c r="C257" s="439" t="s">
        <v>1759</v>
      </c>
      <c r="D257" s="440" t="s">
        <v>219</v>
      </c>
      <c r="E257" s="398" t="s">
        <v>1760</v>
      </c>
      <c r="F257" s="398" t="s">
        <v>1708</v>
      </c>
      <c r="G257" s="398"/>
      <c r="H257" s="398" t="s">
        <v>281</v>
      </c>
      <c r="I257" s="401"/>
      <c r="J257" s="131" t="str">
        <f t="shared" si="3"/>
        <v>13</v>
      </c>
    </row>
    <row r="258" spans="1:10" s="114" customFormat="1" ht="24" hidden="1" customHeight="1">
      <c r="A258" s="398">
        <v>27</v>
      </c>
      <c r="B258" s="132" t="s">
        <v>1761</v>
      </c>
      <c r="C258" s="439" t="s">
        <v>1762</v>
      </c>
      <c r="D258" s="440" t="s">
        <v>347</v>
      </c>
      <c r="E258" s="398" t="s">
        <v>1763</v>
      </c>
      <c r="F258" s="398" t="s">
        <v>1708</v>
      </c>
      <c r="G258" s="398"/>
      <c r="H258" s="398" t="s">
        <v>486</v>
      </c>
      <c r="I258" s="401"/>
      <c r="J258" s="131" t="str">
        <f t="shared" si="3"/>
        <v>13</v>
      </c>
    </row>
    <row r="259" spans="1:10" s="114" customFormat="1" ht="24" hidden="1" customHeight="1">
      <c r="A259" s="398">
        <v>28</v>
      </c>
      <c r="B259" s="132" t="s">
        <v>1764</v>
      </c>
      <c r="C259" s="439" t="s">
        <v>1765</v>
      </c>
      <c r="D259" s="440" t="s">
        <v>220</v>
      </c>
      <c r="E259" s="398" t="s">
        <v>1766</v>
      </c>
      <c r="F259" s="398" t="s">
        <v>1708</v>
      </c>
      <c r="G259" s="398"/>
      <c r="H259" s="398" t="s">
        <v>486</v>
      </c>
      <c r="I259" s="401"/>
      <c r="J259" s="131" t="str">
        <f t="shared" ref="J259:J322" si="4">LEFT(F259,2)</f>
        <v>13</v>
      </c>
    </row>
    <row r="260" spans="1:10" s="114" customFormat="1" ht="24" hidden="1" customHeight="1">
      <c r="A260" s="398">
        <v>29</v>
      </c>
      <c r="B260" s="132" t="s">
        <v>1876</v>
      </c>
      <c r="C260" s="439" t="s">
        <v>487</v>
      </c>
      <c r="D260" s="440" t="s">
        <v>488</v>
      </c>
      <c r="E260" s="398" t="s">
        <v>472</v>
      </c>
      <c r="F260" s="398" t="s">
        <v>1708</v>
      </c>
      <c r="G260" s="412"/>
      <c r="H260" s="398" t="s">
        <v>281</v>
      </c>
      <c r="I260" s="418" t="s">
        <v>961</v>
      </c>
      <c r="J260" s="131" t="str">
        <f t="shared" si="4"/>
        <v>13</v>
      </c>
    </row>
    <row r="261" spans="1:10" s="114" customFormat="1" ht="24" hidden="1" customHeight="1">
      <c r="A261" s="398">
        <v>30</v>
      </c>
      <c r="B261" s="132" t="s">
        <v>1767</v>
      </c>
      <c r="C261" s="439" t="s">
        <v>1768</v>
      </c>
      <c r="D261" s="440" t="s">
        <v>973</v>
      </c>
      <c r="E261" s="398" t="s">
        <v>995</v>
      </c>
      <c r="F261" s="398" t="s">
        <v>1708</v>
      </c>
      <c r="G261" s="400"/>
      <c r="H261" s="398" t="s">
        <v>281</v>
      </c>
      <c r="I261" s="401"/>
      <c r="J261" s="131" t="str">
        <f t="shared" si="4"/>
        <v>13</v>
      </c>
    </row>
    <row r="262" spans="1:10" s="114" customFormat="1" ht="24" hidden="1" customHeight="1">
      <c r="A262" s="398">
        <v>31</v>
      </c>
      <c r="B262" s="132" t="s">
        <v>1769</v>
      </c>
      <c r="C262" s="439" t="s">
        <v>1770</v>
      </c>
      <c r="D262" s="440" t="s">
        <v>350</v>
      </c>
      <c r="E262" s="398" t="s">
        <v>1771</v>
      </c>
      <c r="F262" s="398" t="s">
        <v>1708</v>
      </c>
      <c r="G262" s="398"/>
      <c r="H262" s="398" t="s">
        <v>281</v>
      </c>
      <c r="I262" s="416"/>
      <c r="J262" s="131" t="str">
        <f t="shared" si="4"/>
        <v>13</v>
      </c>
    </row>
    <row r="263" spans="1:10" s="114" customFormat="1" ht="24" hidden="1" customHeight="1">
      <c r="A263" s="398">
        <v>32</v>
      </c>
      <c r="B263" s="132" t="s">
        <v>1859</v>
      </c>
      <c r="C263" s="439" t="s">
        <v>1860</v>
      </c>
      <c r="D263" s="440" t="s">
        <v>350</v>
      </c>
      <c r="E263" s="398" t="s">
        <v>1861</v>
      </c>
      <c r="F263" s="398" t="s">
        <v>1708</v>
      </c>
      <c r="G263" s="398"/>
      <c r="H263" s="398" t="s">
        <v>281</v>
      </c>
      <c r="I263" s="401" t="s">
        <v>961</v>
      </c>
      <c r="J263" s="131" t="str">
        <f t="shared" si="4"/>
        <v>13</v>
      </c>
    </row>
    <row r="264" spans="1:10" s="114" customFormat="1" ht="24" hidden="1" customHeight="1">
      <c r="A264" s="398">
        <v>33</v>
      </c>
      <c r="B264" s="132" t="s">
        <v>1772</v>
      </c>
      <c r="C264" s="439" t="s">
        <v>1773</v>
      </c>
      <c r="D264" s="440" t="s">
        <v>446</v>
      </c>
      <c r="E264" s="398" t="s">
        <v>1411</v>
      </c>
      <c r="F264" s="398" t="s">
        <v>1708</v>
      </c>
      <c r="G264" s="398"/>
      <c r="H264" s="398" t="s">
        <v>281</v>
      </c>
      <c r="I264" s="401"/>
      <c r="J264" s="131" t="str">
        <f t="shared" si="4"/>
        <v>13</v>
      </c>
    </row>
    <row r="265" spans="1:10" s="114" customFormat="1" ht="24" hidden="1" customHeight="1">
      <c r="A265" s="398">
        <v>34</v>
      </c>
      <c r="B265" s="132" t="s">
        <v>1862</v>
      </c>
      <c r="C265" s="439" t="s">
        <v>1863</v>
      </c>
      <c r="D265" s="440" t="s">
        <v>352</v>
      </c>
      <c r="E265" s="398" t="s">
        <v>1803</v>
      </c>
      <c r="F265" s="398" t="s">
        <v>1708</v>
      </c>
      <c r="G265" s="398"/>
      <c r="H265" s="398" t="s">
        <v>281</v>
      </c>
      <c r="I265" s="401" t="s">
        <v>961</v>
      </c>
      <c r="J265" s="131" t="str">
        <f t="shared" si="4"/>
        <v>13</v>
      </c>
    </row>
    <row r="266" spans="1:10" s="115" customFormat="1" ht="24" hidden="1" customHeight="1">
      <c r="A266" s="398">
        <v>35</v>
      </c>
      <c r="B266" s="132" t="s">
        <v>1774</v>
      </c>
      <c r="C266" s="439" t="s">
        <v>1775</v>
      </c>
      <c r="D266" s="440" t="s">
        <v>417</v>
      </c>
      <c r="E266" s="398" t="s">
        <v>389</v>
      </c>
      <c r="F266" s="398" t="s">
        <v>1708</v>
      </c>
      <c r="G266" s="398"/>
      <c r="H266" s="398" t="s">
        <v>281</v>
      </c>
      <c r="I266" s="401"/>
      <c r="J266" s="131" t="str">
        <f t="shared" si="4"/>
        <v>13</v>
      </c>
    </row>
    <row r="267" spans="1:10" s="114" customFormat="1" ht="24" hidden="1" customHeight="1">
      <c r="A267" s="398">
        <v>36</v>
      </c>
      <c r="B267" s="132" t="s">
        <v>1777</v>
      </c>
      <c r="C267" s="439" t="s">
        <v>474</v>
      </c>
      <c r="D267" s="440" t="s">
        <v>1778</v>
      </c>
      <c r="E267" s="398" t="s">
        <v>996</v>
      </c>
      <c r="F267" s="398" t="s">
        <v>1708</v>
      </c>
      <c r="G267" s="398"/>
      <c r="H267" s="398" t="s">
        <v>281</v>
      </c>
      <c r="I267" s="401"/>
      <c r="J267" s="131" t="str">
        <f t="shared" si="4"/>
        <v>13</v>
      </c>
    </row>
    <row r="268" spans="1:10" s="114" customFormat="1" ht="24" hidden="1" customHeight="1">
      <c r="A268" s="398">
        <v>37</v>
      </c>
      <c r="B268" s="132" t="s">
        <v>1776</v>
      </c>
      <c r="C268" s="439" t="s">
        <v>382</v>
      </c>
      <c r="D268" s="440" t="s">
        <v>228</v>
      </c>
      <c r="E268" s="398" t="s">
        <v>466</v>
      </c>
      <c r="F268" s="398" t="s">
        <v>1708</v>
      </c>
      <c r="G268" s="398"/>
      <c r="H268" s="398" t="s">
        <v>281</v>
      </c>
      <c r="I268" s="399"/>
      <c r="J268" s="131" t="str">
        <f t="shared" si="4"/>
        <v>13</v>
      </c>
    </row>
    <row r="269" spans="1:10" s="114" customFormat="1" ht="24" hidden="1" customHeight="1">
      <c r="A269" s="398">
        <v>38</v>
      </c>
      <c r="B269" s="132" t="s">
        <v>1864</v>
      </c>
      <c r="C269" s="439" t="s">
        <v>1865</v>
      </c>
      <c r="D269" s="440" t="s">
        <v>230</v>
      </c>
      <c r="E269" s="398" t="s">
        <v>1028</v>
      </c>
      <c r="F269" s="398" t="s">
        <v>1708</v>
      </c>
      <c r="G269" s="398"/>
      <c r="H269" s="398" t="s">
        <v>281</v>
      </c>
      <c r="I269" s="401" t="s">
        <v>961</v>
      </c>
      <c r="J269" s="131" t="str">
        <f t="shared" si="4"/>
        <v>13</v>
      </c>
    </row>
    <row r="270" spans="1:10" s="114" customFormat="1" ht="24" hidden="1" customHeight="1">
      <c r="A270" s="398">
        <v>39</v>
      </c>
      <c r="B270" s="132" t="s">
        <v>1779</v>
      </c>
      <c r="C270" s="439" t="s">
        <v>452</v>
      </c>
      <c r="D270" s="440" t="s">
        <v>230</v>
      </c>
      <c r="E270" s="398" t="s">
        <v>997</v>
      </c>
      <c r="F270" s="398" t="s">
        <v>1708</v>
      </c>
      <c r="G270" s="398"/>
      <c r="H270" s="398" t="s">
        <v>281</v>
      </c>
      <c r="I270" s="401"/>
      <c r="J270" s="131" t="str">
        <f t="shared" si="4"/>
        <v>13</v>
      </c>
    </row>
    <row r="271" spans="1:10" s="114" customFormat="1" ht="24" hidden="1" customHeight="1">
      <c r="A271" s="398">
        <v>40</v>
      </c>
      <c r="B271" s="132" t="s">
        <v>1780</v>
      </c>
      <c r="C271" s="439" t="s">
        <v>1781</v>
      </c>
      <c r="D271" s="440" t="s">
        <v>1782</v>
      </c>
      <c r="E271" s="398" t="s">
        <v>1739</v>
      </c>
      <c r="F271" s="398" t="s">
        <v>1708</v>
      </c>
      <c r="G271" s="398"/>
      <c r="H271" s="398" t="s">
        <v>281</v>
      </c>
      <c r="I271" s="401" t="s">
        <v>174</v>
      </c>
      <c r="J271" s="131" t="str">
        <f t="shared" si="4"/>
        <v>13</v>
      </c>
    </row>
    <row r="272" spans="1:10" s="114" customFormat="1" ht="24" hidden="1" customHeight="1">
      <c r="A272" s="398">
        <v>41</v>
      </c>
      <c r="B272" s="132" t="s">
        <v>1783</v>
      </c>
      <c r="C272" s="439" t="s">
        <v>1784</v>
      </c>
      <c r="D272" s="440" t="s">
        <v>420</v>
      </c>
      <c r="E272" s="398" t="s">
        <v>1003</v>
      </c>
      <c r="F272" s="398" t="s">
        <v>1708</v>
      </c>
      <c r="G272" s="398"/>
      <c r="H272" s="398" t="s">
        <v>281</v>
      </c>
      <c r="I272" s="401"/>
      <c r="J272" s="131" t="str">
        <f t="shared" si="4"/>
        <v>13</v>
      </c>
    </row>
    <row r="273" spans="1:10" s="114" customFormat="1" ht="24" hidden="1" customHeight="1">
      <c r="A273" s="398">
        <v>42</v>
      </c>
      <c r="B273" s="132" t="s">
        <v>1785</v>
      </c>
      <c r="C273" s="439" t="s">
        <v>1786</v>
      </c>
      <c r="D273" s="440" t="s">
        <v>233</v>
      </c>
      <c r="E273" s="398" t="s">
        <v>1787</v>
      </c>
      <c r="F273" s="398" t="s">
        <v>1708</v>
      </c>
      <c r="G273" s="398"/>
      <c r="H273" s="398" t="s">
        <v>281</v>
      </c>
      <c r="I273" s="401"/>
      <c r="J273" s="131" t="str">
        <f t="shared" si="4"/>
        <v>13</v>
      </c>
    </row>
    <row r="274" spans="1:10" s="114" customFormat="1" ht="24" hidden="1" customHeight="1">
      <c r="A274" s="398">
        <v>43</v>
      </c>
      <c r="B274" s="132" t="s">
        <v>1788</v>
      </c>
      <c r="C274" s="439" t="s">
        <v>1789</v>
      </c>
      <c r="D274" s="440" t="s">
        <v>235</v>
      </c>
      <c r="E274" s="398" t="s">
        <v>1014</v>
      </c>
      <c r="F274" s="398" t="s">
        <v>1708</v>
      </c>
      <c r="G274" s="398"/>
      <c r="H274" s="398" t="s">
        <v>281</v>
      </c>
      <c r="I274" s="401" t="s">
        <v>175</v>
      </c>
      <c r="J274" s="131" t="str">
        <f t="shared" si="4"/>
        <v>13</v>
      </c>
    </row>
    <row r="275" spans="1:10" s="114" customFormat="1" ht="24" hidden="1" customHeight="1">
      <c r="A275" s="398">
        <v>44</v>
      </c>
      <c r="B275" s="132" t="s">
        <v>1866</v>
      </c>
      <c r="C275" s="439" t="s">
        <v>1867</v>
      </c>
      <c r="D275" s="440" t="s">
        <v>235</v>
      </c>
      <c r="E275" s="398" t="s">
        <v>399</v>
      </c>
      <c r="F275" s="398" t="s">
        <v>1708</v>
      </c>
      <c r="G275" s="398"/>
      <c r="H275" s="398" t="s">
        <v>281</v>
      </c>
      <c r="I275" s="401" t="s">
        <v>961</v>
      </c>
      <c r="J275" s="131" t="str">
        <f t="shared" si="4"/>
        <v>13</v>
      </c>
    </row>
    <row r="276" spans="1:10" s="114" customFormat="1" ht="24" hidden="1" customHeight="1">
      <c r="A276" s="398">
        <v>45</v>
      </c>
      <c r="B276" s="132" t="s">
        <v>1877</v>
      </c>
      <c r="C276" s="439" t="s">
        <v>152</v>
      </c>
      <c r="D276" s="440" t="s">
        <v>236</v>
      </c>
      <c r="E276" s="398" t="s">
        <v>1878</v>
      </c>
      <c r="F276" s="398" t="s">
        <v>1708</v>
      </c>
      <c r="G276" s="412"/>
      <c r="H276" s="398" t="s">
        <v>281</v>
      </c>
      <c r="I276" s="418" t="s">
        <v>961</v>
      </c>
      <c r="J276" s="131" t="str">
        <f t="shared" si="4"/>
        <v>13</v>
      </c>
    </row>
    <row r="277" spans="1:10" s="114" customFormat="1" ht="24" hidden="1" customHeight="1">
      <c r="A277" s="398">
        <v>46</v>
      </c>
      <c r="B277" s="132" t="s">
        <v>1790</v>
      </c>
      <c r="C277" s="439" t="s">
        <v>1015</v>
      </c>
      <c r="D277" s="440" t="s">
        <v>236</v>
      </c>
      <c r="E277" s="398" t="s">
        <v>1791</v>
      </c>
      <c r="F277" s="398" t="s">
        <v>1708</v>
      </c>
      <c r="G277" s="398"/>
      <c r="H277" s="398" t="s">
        <v>281</v>
      </c>
      <c r="I277" s="401"/>
      <c r="J277" s="131" t="str">
        <f t="shared" si="4"/>
        <v>13</v>
      </c>
    </row>
    <row r="278" spans="1:10" s="114" customFormat="1" ht="24" hidden="1" customHeight="1">
      <c r="A278" s="398">
        <v>47</v>
      </c>
      <c r="B278" s="132" t="s">
        <v>1792</v>
      </c>
      <c r="C278" s="439" t="s">
        <v>1793</v>
      </c>
      <c r="D278" s="440" t="s">
        <v>1794</v>
      </c>
      <c r="E278" s="398" t="s">
        <v>292</v>
      </c>
      <c r="F278" s="398" t="s">
        <v>1708</v>
      </c>
      <c r="G278" s="398"/>
      <c r="H278" s="398" t="s">
        <v>281</v>
      </c>
      <c r="I278" s="401"/>
      <c r="J278" s="131" t="str">
        <f t="shared" si="4"/>
        <v>13</v>
      </c>
    </row>
    <row r="279" spans="1:10" s="114" customFormat="1" ht="24" hidden="1" customHeight="1">
      <c r="A279" s="398">
        <v>48</v>
      </c>
      <c r="B279" s="132" t="s">
        <v>1868</v>
      </c>
      <c r="C279" s="439" t="s">
        <v>1869</v>
      </c>
      <c r="D279" s="440" t="s">
        <v>1794</v>
      </c>
      <c r="E279" s="398" t="s">
        <v>1643</v>
      </c>
      <c r="F279" s="398" t="s">
        <v>1708</v>
      </c>
      <c r="G279" s="398"/>
      <c r="H279" s="398" t="s">
        <v>281</v>
      </c>
      <c r="I279" s="401" t="s">
        <v>961</v>
      </c>
      <c r="J279" s="131" t="str">
        <f t="shared" si="4"/>
        <v>13</v>
      </c>
    </row>
    <row r="280" spans="1:10" s="114" customFormat="1" ht="24" hidden="1" customHeight="1" thickBot="1">
      <c r="A280" s="406">
        <v>49</v>
      </c>
      <c r="B280" s="132" t="s">
        <v>1795</v>
      </c>
      <c r="C280" s="441" t="s">
        <v>474</v>
      </c>
      <c r="D280" s="442" t="s">
        <v>1017</v>
      </c>
      <c r="E280" s="406" t="s">
        <v>1796</v>
      </c>
      <c r="F280" s="406" t="s">
        <v>1708</v>
      </c>
      <c r="G280" s="406"/>
      <c r="H280" s="406" t="s">
        <v>281</v>
      </c>
      <c r="I280" s="417"/>
      <c r="J280" s="131" t="str">
        <f t="shared" si="4"/>
        <v>13</v>
      </c>
    </row>
    <row r="281" spans="1:10" s="114" customFormat="1" ht="24" hidden="1" customHeight="1">
      <c r="A281" s="408">
        <v>1</v>
      </c>
      <c r="B281" s="132" t="s">
        <v>1879</v>
      </c>
      <c r="C281" s="443" t="s">
        <v>421</v>
      </c>
      <c r="D281" s="444" t="s">
        <v>985</v>
      </c>
      <c r="E281" s="408" t="s">
        <v>1030</v>
      </c>
      <c r="F281" s="409" t="s">
        <v>1880</v>
      </c>
      <c r="G281" s="408"/>
      <c r="H281" s="408" t="s">
        <v>281</v>
      </c>
      <c r="I281" s="410"/>
      <c r="J281" s="131" t="str">
        <f t="shared" si="4"/>
        <v>13</v>
      </c>
    </row>
    <row r="282" spans="1:10" s="114" customFormat="1" ht="24" hidden="1" customHeight="1">
      <c r="A282" s="398">
        <v>2</v>
      </c>
      <c r="B282" s="132" t="s">
        <v>1881</v>
      </c>
      <c r="C282" s="439" t="s">
        <v>1882</v>
      </c>
      <c r="D282" s="440" t="s">
        <v>425</v>
      </c>
      <c r="E282" s="398" t="s">
        <v>1883</v>
      </c>
      <c r="F282" s="398" t="s">
        <v>1880</v>
      </c>
      <c r="G282" s="398"/>
      <c r="H282" s="398" t="s">
        <v>281</v>
      </c>
      <c r="I282" s="401"/>
      <c r="J282" s="131" t="str">
        <f t="shared" si="4"/>
        <v>13</v>
      </c>
    </row>
    <row r="283" spans="1:10" s="114" customFormat="1" ht="24" hidden="1" customHeight="1">
      <c r="A283" s="398">
        <v>3</v>
      </c>
      <c r="B283" s="132" t="s">
        <v>1884</v>
      </c>
      <c r="C283" s="439" t="s">
        <v>1031</v>
      </c>
      <c r="D283" s="440" t="s">
        <v>362</v>
      </c>
      <c r="E283" s="398" t="s">
        <v>345</v>
      </c>
      <c r="F283" s="398" t="s">
        <v>1880</v>
      </c>
      <c r="G283" s="400" t="s">
        <v>330</v>
      </c>
      <c r="H283" s="398" t="s">
        <v>281</v>
      </c>
      <c r="I283" s="401"/>
      <c r="J283" s="131" t="str">
        <f t="shared" si="4"/>
        <v>13</v>
      </c>
    </row>
    <row r="284" spans="1:10" s="114" customFormat="1" ht="24" hidden="1" customHeight="1">
      <c r="A284" s="398">
        <v>4</v>
      </c>
      <c r="B284" s="132" t="s">
        <v>1940</v>
      </c>
      <c r="C284" s="439" t="s">
        <v>1941</v>
      </c>
      <c r="D284" s="440" t="s">
        <v>1942</v>
      </c>
      <c r="E284" s="398" t="s">
        <v>1943</v>
      </c>
      <c r="F284" s="398" t="s">
        <v>1880</v>
      </c>
      <c r="G284" s="400" t="s">
        <v>330</v>
      </c>
      <c r="H284" s="398" t="s">
        <v>486</v>
      </c>
      <c r="I284" s="401" t="s">
        <v>2639</v>
      </c>
      <c r="J284" s="131" t="str">
        <f t="shared" si="4"/>
        <v>13</v>
      </c>
    </row>
    <row r="285" spans="1:10" s="114" customFormat="1" ht="24" hidden="1" customHeight="1">
      <c r="A285" s="398">
        <v>5</v>
      </c>
      <c r="B285" s="132" t="s">
        <v>1885</v>
      </c>
      <c r="C285" s="439" t="s">
        <v>1555</v>
      </c>
      <c r="D285" s="440" t="s">
        <v>1032</v>
      </c>
      <c r="E285" s="398" t="s">
        <v>1438</v>
      </c>
      <c r="F285" s="398" t="s">
        <v>1880</v>
      </c>
      <c r="G285" s="398"/>
      <c r="H285" s="398" t="s">
        <v>486</v>
      </c>
      <c r="I285" s="401"/>
      <c r="J285" s="131" t="str">
        <f t="shared" si="4"/>
        <v>13</v>
      </c>
    </row>
    <row r="286" spans="1:10" s="114" customFormat="1" ht="24" hidden="1" customHeight="1">
      <c r="A286" s="398">
        <v>6</v>
      </c>
      <c r="B286" s="132" t="s">
        <v>1945</v>
      </c>
      <c r="C286" s="439" t="s">
        <v>1652</v>
      </c>
      <c r="D286" s="440" t="s">
        <v>364</v>
      </c>
      <c r="E286" s="398" t="s">
        <v>974</v>
      </c>
      <c r="F286" s="398" t="s">
        <v>1880</v>
      </c>
      <c r="G286" s="400" t="s">
        <v>336</v>
      </c>
      <c r="H286" s="398" t="s">
        <v>281</v>
      </c>
      <c r="I286" s="401" t="s">
        <v>2639</v>
      </c>
      <c r="J286" s="131" t="str">
        <f t="shared" si="4"/>
        <v>13</v>
      </c>
    </row>
    <row r="287" spans="1:10" s="114" customFormat="1" ht="24" hidden="1" customHeight="1">
      <c r="A287" s="398">
        <v>7</v>
      </c>
      <c r="B287" s="132" t="s">
        <v>1946</v>
      </c>
      <c r="C287" s="439" t="s">
        <v>1947</v>
      </c>
      <c r="D287" s="440" t="s">
        <v>291</v>
      </c>
      <c r="E287" s="398" t="s">
        <v>440</v>
      </c>
      <c r="F287" s="398" t="s">
        <v>1880</v>
      </c>
      <c r="G287" s="398"/>
      <c r="H287" s="398" t="s">
        <v>281</v>
      </c>
      <c r="I287" s="401" t="s">
        <v>2639</v>
      </c>
      <c r="J287" s="131" t="str">
        <f t="shared" si="4"/>
        <v>13</v>
      </c>
    </row>
    <row r="288" spans="1:10" s="114" customFormat="1" ht="24" hidden="1" customHeight="1">
      <c r="A288" s="398">
        <v>8</v>
      </c>
      <c r="B288" s="132" t="s">
        <v>1886</v>
      </c>
      <c r="C288" s="439" t="s">
        <v>201</v>
      </c>
      <c r="D288" s="440" t="s">
        <v>478</v>
      </c>
      <c r="E288" s="398" t="s">
        <v>1887</v>
      </c>
      <c r="F288" s="398" t="s">
        <v>1880</v>
      </c>
      <c r="G288" s="398"/>
      <c r="H288" s="398" t="s">
        <v>281</v>
      </c>
      <c r="I288" s="401" t="s">
        <v>174</v>
      </c>
      <c r="J288" s="131" t="str">
        <f t="shared" si="4"/>
        <v>13</v>
      </c>
    </row>
    <row r="289" spans="1:10" s="114" customFormat="1" ht="24" hidden="1" customHeight="1">
      <c r="A289" s="398">
        <v>9</v>
      </c>
      <c r="B289" s="132" t="s">
        <v>1888</v>
      </c>
      <c r="C289" s="439" t="s">
        <v>201</v>
      </c>
      <c r="D289" s="440" t="s">
        <v>1889</v>
      </c>
      <c r="E289" s="398" t="s">
        <v>1890</v>
      </c>
      <c r="F289" s="398" t="s">
        <v>1880</v>
      </c>
      <c r="G289" s="400" t="s">
        <v>360</v>
      </c>
      <c r="H289" s="398" t="s">
        <v>281</v>
      </c>
      <c r="I289" s="401"/>
      <c r="J289" s="131" t="str">
        <f t="shared" si="4"/>
        <v>13</v>
      </c>
    </row>
    <row r="290" spans="1:10" s="114" customFormat="1" ht="24" hidden="1" customHeight="1">
      <c r="A290" s="398">
        <v>10</v>
      </c>
      <c r="B290" s="132" t="s">
        <v>1948</v>
      </c>
      <c r="C290" s="439" t="s">
        <v>443</v>
      </c>
      <c r="D290" s="440" t="s">
        <v>202</v>
      </c>
      <c r="E290" s="398" t="s">
        <v>982</v>
      </c>
      <c r="F290" s="398" t="s">
        <v>1880</v>
      </c>
      <c r="G290" s="398"/>
      <c r="H290" s="398" t="s">
        <v>486</v>
      </c>
      <c r="I290" s="401" t="s">
        <v>2639</v>
      </c>
      <c r="J290" s="131" t="str">
        <f t="shared" si="4"/>
        <v>13</v>
      </c>
    </row>
    <row r="291" spans="1:10" s="114" customFormat="1" ht="24" hidden="1" customHeight="1">
      <c r="A291" s="398">
        <v>11</v>
      </c>
      <c r="B291" s="132" t="s">
        <v>1891</v>
      </c>
      <c r="C291" s="439" t="s">
        <v>1892</v>
      </c>
      <c r="D291" s="440" t="s">
        <v>202</v>
      </c>
      <c r="E291" s="398" t="s">
        <v>1648</v>
      </c>
      <c r="F291" s="398" t="s">
        <v>1880</v>
      </c>
      <c r="G291" s="398"/>
      <c r="H291" s="398" t="s">
        <v>281</v>
      </c>
      <c r="I291" s="401"/>
      <c r="J291" s="131" t="str">
        <f t="shared" si="4"/>
        <v>13</v>
      </c>
    </row>
    <row r="292" spans="1:10" s="114" customFormat="1" ht="24" hidden="1" customHeight="1">
      <c r="A292" s="398">
        <v>12</v>
      </c>
      <c r="B292" s="132" t="s">
        <v>1949</v>
      </c>
      <c r="C292" s="439" t="s">
        <v>1950</v>
      </c>
      <c r="D292" s="440" t="s">
        <v>435</v>
      </c>
      <c r="E292" s="398" t="s">
        <v>1042</v>
      </c>
      <c r="F292" s="398" t="s">
        <v>1880</v>
      </c>
      <c r="G292" s="400" t="s">
        <v>360</v>
      </c>
      <c r="H292" s="398" t="s">
        <v>281</v>
      </c>
      <c r="I292" s="401" t="s">
        <v>2639</v>
      </c>
      <c r="J292" s="131" t="str">
        <f t="shared" si="4"/>
        <v>13</v>
      </c>
    </row>
    <row r="293" spans="1:10" s="114" customFormat="1" ht="24" hidden="1" customHeight="1">
      <c r="A293" s="398">
        <v>13</v>
      </c>
      <c r="B293" s="132" t="s">
        <v>1893</v>
      </c>
      <c r="C293" s="439" t="s">
        <v>1894</v>
      </c>
      <c r="D293" s="440" t="s">
        <v>1895</v>
      </c>
      <c r="E293" s="398" t="s">
        <v>1033</v>
      </c>
      <c r="F293" s="398" t="s">
        <v>1880</v>
      </c>
      <c r="G293" s="398" t="s">
        <v>283</v>
      </c>
      <c r="H293" s="398" t="s">
        <v>281</v>
      </c>
      <c r="I293" s="401"/>
      <c r="J293" s="131" t="str">
        <f t="shared" si="4"/>
        <v>13</v>
      </c>
    </row>
    <row r="294" spans="1:10" s="114" customFormat="1" ht="24" hidden="1" customHeight="1">
      <c r="A294" s="398">
        <v>14</v>
      </c>
      <c r="B294" s="132" t="s">
        <v>1896</v>
      </c>
      <c r="C294" s="439" t="s">
        <v>1897</v>
      </c>
      <c r="D294" s="440" t="s">
        <v>366</v>
      </c>
      <c r="E294" s="398" t="s">
        <v>978</v>
      </c>
      <c r="F294" s="398" t="s">
        <v>1880</v>
      </c>
      <c r="G294" s="398"/>
      <c r="H294" s="398" t="s">
        <v>281</v>
      </c>
      <c r="I294" s="401"/>
      <c r="J294" s="131" t="str">
        <f t="shared" si="4"/>
        <v>13</v>
      </c>
    </row>
    <row r="295" spans="1:10" s="114" customFormat="1" ht="24" hidden="1" customHeight="1">
      <c r="A295" s="398">
        <v>15</v>
      </c>
      <c r="B295" s="132" t="s">
        <v>1951</v>
      </c>
      <c r="C295" s="439" t="s">
        <v>433</v>
      </c>
      <c r="D295" s="440" t="s">
        <v>1043</v>
      </c>
      <c r="E295" s="398" t="s">
        <v>1952</v>
      </c>
      <c r="F295" s="398" t="s">
        <v>1880</v>
      </c>
      <c r="G295" s="398"/>
      <c r="H295" s="398" t="s">
        <v>281</v>
      </c>
      <c r="I295" s="401" t="s">
        <v>2639</v>
      </c>
      <c r="J295" s="131" t="str">
        <f t="shared" si="4"/>
        <v>13</v>
      </c>
    </row>
    <row r="296" spans="1:10" s="114" customFormat="1" ht="24" hidden="1" customHeight="1">
      <c r="A296" s="398">
        <v>16</v>
      </c>
      <c r="B296" s="132" t="s">
        <v>1953</v>
      </c>
      <c r="C296" s="439" t="s">
        <v>1954</v>
      </c>
      <c r="D296" s="440" t="s">
        <v>293</v>
      </c>
      <c r="E296" s="398" t="s">
        <v>1044</v>
      </c>
      <c r="F296" s="398" t="s">
        <v>1880</v>
      </c>
      <c r="G296" s="398"/>
      <c r="H296" s="398" t="s">
        <v>281</v>
      </c>
      <c r="I296" s="401" t="s">
        <v>2639</v>
      </c>
      <c r="J296" s="131" t="str">
        <f t="shared" si="4"/>
        <v>13</v>
      </c>
    </row>
    <row r="297" spans="1:10" s="114" customFormat="1" ht="24" hidden="1" customHeight="1">
      <c r="A297" s="398">
        <v>17</v>
      </c>
      <c r="B297" s="132" t="s">
        <v>1898</v>
      </c>
      <c r="C297" s="439" t="s">
        <v>443</v>
      </c>
      <c r="D297" s="440" t="s">
        <v>293</v>
      </c>
      <c r="E297" s="398" t="s">
        <v>1899</v>
      </c>
      <c r="F297" s="398" t="s">
        <v>1880</v>
      </c>
      <c r="G297" s="398"/>
      <c r="H297" s="398" t="s">
        <v>281</v>
      </c>
      <c r="I297" s="401"/>
      <c r="J297" s="131" t="str">
        <f t="shared" si="4"/>
        <v>13</v>
      </c>
    </row>
    <row r="298" spans="1:10" s="114" customFormat="1" ht="24" hidden="1" customHeight="1">
      <c r="A298" s="398">
        <v>18</v>
      </c>
      <c r="B298" s="132" t="s">
        <v>1955</v>
      </c>
      <c r="C298" s="439" t="s">
        <v>1956</v>
      </c>
      <c r="D298" s="440" t="s">
        <v>296</v>
      </c>
      <c r="E298" s="398" t="s">
        <v>1021</v>
      </c>
      <c r="F298" s="398" t="s">
        <v>1880</v>
      </c>
      <c r="G298" s="398"/>
      <c r="H298" s="398" t="s">
        <v>281</v>
      </c>
      <c r="I298" s="401" t="s">
        <v>2639</v>
      </c>
      <c r="J298" s="131" t="str">
        <f t="shared" si="4"/>
        <v>13</v>
      </c>
    </row>
    <row r="299" spans="1:10" s="114" customFormat="1" ht="24" hidden="1" customHeight="1">
      <c r="A299" s="398">
        <v>19</v>
      </c>
      <c r="B299" s="132" t="s">
        <v>1957</v>
      </c>
      <c r="C299" s="439" t="s">
        <v>1958</v>
      </c>
      <c r="D299" s="440" t="s">
        <v>296</v>
      </c>
      <c r="E299" s="398" t="s">
        <v>1801</v>
      </c>
      <c r="F299" s="398" t="s">
        <v>1880</v>
      </c>
      <c r="G299" s="398"/>
      <c r="H299" s="398" t="s">
        <v>281</v>
      </c>
      <c r="I299" s="401" t="s">
        <v>2639</v>
      </c>
      <c r="J299" s="131" t="str">
        <f t="shared" si="4"/>
        <v>13</v>
      </c>
    </row>
    <row r="300" spans="1:10" s="114" customFormat="1" ht="24" hidden="1" customHeight="1">
      <c r="A300" s="398">
        <v>20</v>
      </c>
      <c r="B300" s="132" t="s">
        <v>1900</v>
      </c>
      <c r="C300" s="439" t="s">
        <v>1901</v>
      </c>
      <c r="D300" s="440" t="s">
        <v>324</v>
      </c>
      <c r="E300" s="398" t="s">
        <v>378</v>
      </c>
      <c r="F300" s="398" t="s">
        <v>1880</v>
      </c>
      <c r="G300" s="398"/>
      <c r="H300" s="398" t="s">
        <v>281</v>
      </c>
      <c r="I300" s="401"/>
      <c r="J300" s="131" t="str">
        <f t="shared" si="4"/>
        <v>13</v>
      </c>
    </row>
    <row r="301" spans="1:10" s="114" customFormat="1" ht="24" hidden="1" customHeight="1">
      <c r="A301" s="398">
        <v>21</v>
      </c>
      <c r="B301" s="132" t="s">
        <v>1959</v>
      </c>
      <c r="C301" s="439" t="s">
        <v>193</v>
      </c>
      <c r="D301" s="440" t="s">
        <v>1960</v>
      </c>
      <c r="E301" s="398" t="s">
        <v>1961</v>
      </c>
      <c r="F301" s="398" t="s">
        <v>1880</v>
      </c>
      <c r="G301" s="398"/>
      <c r="H301" s="398" t="s">
        <v>281</v>
      </c>
      <c r="I301" s="401" t="s">
        <v>2639</v>
      </c>
      <c r="J301" s="131" t="str">
        <f t="shared" si="4"/>
        <v>13</v>
      </c>
    </row>
    <row r="302" spans="1:10" s="114" customFormat="1" ht="24" hidden="1" customHeight="1">
      <c r="A302" s="398">
        <v>22</v>
      </c>
      <c r="B302" s="132" t="s">
        <v>1962</v>
      </c>
      <c r="C302" s="439" t="s">
        <v>1963</v>
      </c>
      <c r="D302" s="440" t="s">
        <v>1045</v>
      </c>
      <c r="E302" s="398" t="s">
        <v>1964</v>
      </c>
      <c r="F302" s="398" t="s">
        <v>1880</v>
      </c>
      <c r="G302" s="398"/>
      <c r="H302" s="398" t="s">
        <v>281</v>
      </c>
      <c r="I302" s="401" t="s">
        <v>2639</v>
      </c>
      <c r="J302" s="131" t="str">
        <f t="shared" si="4"/>
        <v>13</v>
      </c>
    </row>
    <row r="303" spans="1:10" s="114" customFormat="1" ht="24" hidden="1" customHeight="1">
      <c r="A303" s="398">
        <v>23</v>
      </c>
      <c r="B303" s="132" t="s">
        <v>1902</v>
      </c>
      <c r="C303" s="439" t="s">
        <v>429</v>
      </c>
      <c r="D303" s="440" t="s">
        <v>328</v>
      </c>
      <c r="E303" s="398" t="s">
        <v>1034</v>
      </c>
      <c r="F303" s="398" t="s">
        <v>1880</v>
      </c>
      <c r="G303" s="398"/>
      <c r="H303" s="398" t="s">
        <v>281</v>
      </c>
      <c r="I303" s="401"/>
      <c r="J303" s="131" t="str">
        <f t="shared" si="4"/>
        <v>13</v>
      </c>
    </row>
    <row r="304" spans="1:10" s="114" customFormat="1" ht="24" hidden="1" customHeight="1">
      <c r="A304" s="398">
        <v>24</v>
      </c>
      <c r="B304" s="132" t="s">
        <v>1903</v>
      </c>
      <c r="C304" s="439" t="s">
        <v>1904</v>
      </c>
      <c r="D304" s="440" t="s">
        <v>329</v>
      </c>
      <c r="E304" s="398" t="s">
        <v>983</v>
      </c>
      <c r="F304" s="398" t="s">
        <v>1880</v>
      </c>
      <c r="G304" s="398"/>
      <c r="H304" s="398" t="s">
        <v>486</v>
      </c>
      <c r="I304" s="401"/>
      <c r="J304" s="131" t="str">
        <f t="shared" si="4"/>
        <v>13</v>
      </c>
    </row>
    <row r="305" spans="1:10" s="114" customFormat="1" ht="24" hidden="1" customHeight="1">
      <c r="A305" s="398">
        <v>25</v>
      </c>
      <c r="B305" s="132" t="s">
        <v>1905</v>
      </c>
      <c r="C305" s="439" t="s">
        <v>367</v>
      </c>
      <c r="D305" s="440" t="s">
        <v>1513</v>
      </c>
      <c r="E305" s="398" t="s">
        <v>1906</v>
      </c>
      <c r="F305" s="398" t="s">
        <v>1880</v>
      </c>
      <c r="G305" s="398"/>
      <c r="H305" s="398" t="s">
        <v>281</v>
      </c>
      <c r="I305" s="401"/>
      <c r="J305" s="131" t="str">
        <f t="shared" si="4"/>
        <v>13</v>
      </c>
    </row>
    <row r="306" spans="1:10" s="114" customFormat="1" ht="24" hidden="1" customHeight="1">
      <c r="A306" s="398">
        <v>26</v>
      </c>
      <c r="B306" s="132" t="s">
        <v>1965</v>
      </c>
      <c r="C306" s="439" t="s">
        <v>209</v>
      </c>
      <c r="D306" s="440" t="s">
        <v>331</v>
      </c>
      <c r="E306" s="398" t="s">
        <v>1966</v>
      </c>
      <c r="F306" s="398" t="s">
        <v>1880</v>
      </c>
      <c r="G306" s="400"/>
      <c r="H306" s="398" t="s">
        <v>281</v>
      </c>
      <c r="I306" s="401" t="s">
        <v>2639</v>
      </c>
      <c r="J306" s="131" t="str">
        <f t="shared" si="4"/>
        <v>13</v>
      </c>
    </row>
    <row r="307" spans="1:10" s="114" customFormat="1" ht="24" hidden="1" customHeight="1">
      <c r="A307" s="398">
        <v>27</v>
      </c>
      <c r="B307" s="132" t="s">
        <v>1967</v>
      </c>
      <c r="C307" s="439" t="s">
        <v>1968</v>
      </c>
      <c r="D307" s="440" t="s">
        <v>333</v>
      </c>
      <c r="E307" s="398" t="s">
        <v>1969</v>
      </c>
      <c r="F307" s="398" t="s">
        <v>1880</v>
      </c>
      <c r="G307" s="398"/>
      <c r="H307" s="398" t="s">
        <v>486</v>
      </c>
      <c r="I307" s="401" t="s">
        <v>2639</v>
      </c>
      <c r="J307" s="131" t="str">
        <f t="shared" si="4"/>
        <v>13</v>
      </c>
    </row>
    <row r="308" spans="1:10" s="114" customFormat="1" ht="24" hidden="1" customHeight="1">
      <c r="A308" s="398">
        <v>28</v>
      </c>
      <c r="B308" s="132" t="s">
        <v>1907</v>
      </c>
      <c r="C308" s="439" t="s">
        <v>1908</v>
      </c>
      <c r="D308" s="440" t="s">
        <v>333</v>
      </c>
      <c r="E308" s="398" t="s">
        <v>1909</v>
      </c>
      <c r="F308" s="398" t="s">
        <v>1880</v>
      </c>
      <c r="G308" s="398"/>
      <c r="H308" s="398" t="s">
        <v>486</v>
      </c>
      <c r="I308" s="401"/>
      <c r="J308" s="131" t="str">
        <f t="shared" si="4"/>
        <v>13</v>
      </c>
    </row>
    <row r="309" spans="1:10" s="114" customFormat="1" ht="24" hidden="1" customHeight="1">
      <c r="A309" s="398">
        <v>29</v>
      </c>
      <c r="B309" s="132" t="s">
        <v>1970</v>
      </c>
      <c r="C309" s="439" t="s">
        <v>1046</v>
      </c>
      <c r="D309" s="440" t="s">
        <v>213</v>
      </c>
      <c r="E309" s="398" t="s">
        <v>1971</v>
      </c>
      <c r="F309" s="398" t="s">
        <v>1880</v>
      </c>
      <c r="G309" s="398"/>
      <c r="H309" s="398" t="s">
        <v>281</v>
      </c>
      <c r="I309" s="401" t="s">
        <v>2639</v>
      </c>
      <c r="J309" s="131" t="str">
        <f t="shared" si="4"/>
        <v>13</v>
      </c>
    </row>
    <row r="310" spans="1:10" s="114" customFormat="1" ht="24" hidden="1" customHeight="1">
      <c r="A310" s="398">
        <v>30</v>
      </c>
      <c r="B310" s="132" t="s">
        <v>1972</v>
      </c>
      <c r="C310" s="439" t="s">
        <v>206</v>
      </c>
      <c r="D310" s="440" t="s">
        <v>213</v>
      </c>
      <c r="E310" s="398" t="s">
        <v>1275</v>
      </c>
      <c r="F310" s="398" t="s">
        <v>1880</v>
      </c>
      <c r="G310" s="398"/>
      <c r="H310" s="398" t="s">
        <v>281</v>
      </c>
      <c r="I310" s="401" t="s">
        <v>2639</v>
      </c>
      <c r="J310" s="131" t="str">
        <f t="shared" si="4"/>
        <v>13</v>
      </c>
    </row>
    <row r="311" spans="1:10" s="114" customFormat="1" ht="24" hidden="1" customHeight="1">
      <c r="A311" s="398">
        <v>31</v>
      </c>
      <c r="B311" s="132" t="s">
        <v>1973</v>
      </c>
      <c r="C311" s="439" t="s">
        <v>371</v>
      </c>
      <c r="D311" s="440" t="s">
        <v>337</v>
      </c>
      <c r="E311" s="398" t="s">
        <v>1974</v>
      </c>
      <c r="F311" s="398" t="s">
        <v>1880</v>
      </c>
      <c r="G311" s="398"/>
      <c r="H311" s="398" t="s">
        <v>486</v>
      </c>
      <c r="I311" s="401" t="s">
        <v>2640</v>
      </c>
      <c r="J311" s="131" t="str">
        <f t="shared" si="4"/>
        <v>13</v>
      </c>
    </row>
    <row r="312" spans="1:10" s="115" customFormat="1" ht="24" hidden="1" customHeight="1">
      <c r="A312" s="398">
        <v>32</v>
      </c>
      <c r="B312" s="132" t="s">
        <v>1975</v>
      </c>
      <c r="C312" s="439" t="s">
        <v>1976</v>
      </c>
      <c r="D312" s="440" t="s">
        <v>377</v>
      </c>
      <c r="E312" s="398" t="s">
        <v>1966</v>
      </c>
      <c r="F312" s="398" t="s">
        <v>1880</v>
      </c>
      <c r="G312" s="400"/>
      <c r="H312" s="398" t="s">
        <v>486</v>
      </c>
      <c r="I312" s="401" t="s">
        <v>2639</v>
      </c>
      <c r="J312" s="131" t="str">
        <f t="shared" si="4"/>
        <v>13</v>
      </c>
    </row>
    <row r="313" spans="1:10" s="114" customFormat="1" ht="24" hidden="1" customHeight="1">
      <c r="A313" s="398">
        <v>33</v>
      </c>
      <c r="B313" s="132" t="s">
        <v>1910</v>
      </c>
      <c r="C313" s="439" t="s">
        <v>1911</v>
      </c>
      <c r="D313" s="440" t="s">
        <v>1036</v>
      </c>
      <c r="E313" s="398" t="s">
        <v>1912</v>
      </c>
      <c r="F313" s="398" t="s">
        <v>1880</v>
      </c>
      <c r="G313" s="400" t="s">
        <v>336</v>
      </c>
      <c r="H313" s="398" t="s">
        <v>281</v>
      </c>
      <c r="I313" s="401" t="s">
        <v>176</v>
      </c>
      <c r="J313" s="131" t="str">
        <f t="shared" si="4"/>
        <v>13</v>
      </c>
    </row>
    <row r="314" spans="1:10" s="114" customFormat="1" ht="24" hidden="1" customHeight="1">
      <c r="A314" s="398">
        <v>34</v>
      </c>
      <c r="B314" s="132" t="s">
        <v>1913</v>
      </c>
      <c r="C314" s="439" t="s">
        <v>201</v>
      </c>
      <c r="D314" s="440" t="s">
        <v>341</v>
      </c>
      <c r="E314" s="398" t="s">
        <v>1914</v>
      </c>
      <c r="F314" s="398" t="s">
        <v>1880</v>
      </c>
      <c r="G314" s="398"/>
      <c r="H314" s="398" t="s">
        <v>281</v>
      </c>
      <c r="I314" s="401"/>
      <c r="J314" s="131" t="str">
        <f t="shared" si="4"/>
        <v>13</v>
      </c>
    </row>
    <row r="315" spans="1:10" s="114" customFormat="1" ht="24" hidden="1" customHeight="1">
      <c r="A315" s="398">
        <v>35</v>
      </c>
      <c r="B315" s="132" t="s">
        <v>1977</v>
      </c>
      <c r="C315" s="439" t="s">
        <v>1978</v>
      </c>
      <c r="D315" s="440" t="s">
        <v>1979</v>
      </c>
      <c r="E315" s="398" t="s">
        <v>1980</v>
      </c>
      <c r="F315" s="398" t="s">
        <v>1880</v>
      </c>
      <c r="G315" s="398"/>
      <c r="H315" s="398" t="s">
        <v>281</v>
      </c>
      <c r="I315" s="401" t="s">
        <v>2639</v>
      </c>
      <c r="J315" s="131" t="str">
        <f t="shared" si="4"/>
        <v>13</v>
      </c>
    </row>
    <row r="316" spans="1:10" s="114" customFormat="1" ht="24" hidden="1" customHeight="1">
      <c r="A316" s="398">
        <v>36</v>
      </c>
      <c r="B316" s="132" t="s">
        <v>1915</v>
      </c>
      <c r="C316" s="439" t="s">
        <v>1916</v>
      </c>
      <c r="D316" s="440" t="s">
        <v>1917</v>
      </c>
      <c r="E316" s="398" t="s">
        <v>1403</v>
      </c>
      <c r="F316" s="398" t="s">
        <v>1880</v>
      </c>
      <c r="G316" s="398"/>
      <c r="H316" s="398" t="s">
        <v>281</v>
      </c>
      <c r="I316" s="401"/>
      <c r="J316" s="131" t="str">
        <f t="shared" si="4"/>
        <v>13</v>
      </c>
    </row>
    <row r="317" spans="1:10" s="114" customFormat="1" ht="24" hidden="1" customHeight="1">
      <c r="A317" s="398">
        <v>37</v>
      </c>
      <c r="B317" s="132" t="s">
        <v>1981</v>
      </c>
      <c r="C317" s="439" t="s">
        <v>1982</v>
      </c>
      <c r="D317" s="440" t="s">
        <v>1047</v>
      </c>
      <c r="E317" s="398" t="s">
        <v>1048</v>
      </c>
      <c r="F317" s="398" t="s">
        <v>1880</v>
      </c>
      <c r="G317" s="398"/>
      <c r="H317" s="398" t="s">
        <v>486</v>
      </c>
      <c r="I317" s="401" t="s">
        <v>2639</v>
      </c>
      <c r="J317" s="131" t="str">
        <f t="shared" si="4"/>
        <v>13</v>
      </c>
    </row>
    <row r="318" spans="1:10" s="114" customFormat="1" ht="24" hidden="1" customHeight="1">
      <c r="A318" s="398">
        <v>38</v>
      </c>
      <c r="B318" s="132" t="s">
        <v>1918</v>
      </c>
      <c r="C318" s="439" t="s">
        <v>1555</v>
      </c>
      <c r="D318" s="440" t="s">
        <v>1037</v>
      </c>
      <c r="E318" s="398" t="s">
        <v>1919</v>
      </c>
      <c r="F318" s="398" t="s">
        <v>1880</v>
      </c>
      <c r="G318" s="398"/>
      <c r="H318" s="398" t="s">
        <v>281</v>
      </c>
      <c r="I318" s="401"/>
      <c r="J318" s="131" t="str">
        <f t="shared" si="4"/>
        <v>13</v>
      </c>
    </row>
    <row r="319" spans="1:10" s="114" customFormat="1" ht="24" hidden="1" customHeight="1">
      <c r="A319" s="398">
        <v>39</v>
      </c>
      <c r="B319" s="132" t="s">
        <v>1920</v>
      </c>
      <c r="C319" s="439" t="s">
        <v>1921</v>
      </c>
      <c r="D319" s="440" t="s">
        <v>1922</v>
      </c>
      <c r="E319" s="398" t="s">
        <v>1923</v>
      </c>
      <c r="F319" s="398" t="s">
        <v>1880</v>
      </c>
      <c r="G319" s="398"/>
      <c r="H319" s="398" t="s">
        <v>281</v>
      </c>
      <c r="I319" s="419"/>
      <c r="J319" s="131" t="str">
        <f t="shared" si="4"/>
        <v>13</v>
      </c>
    </row>
    <row r="320" spans="1:10" s="114" customFormat="1" ht="24" hidden="1" customHeight="1">
      <c r="A320" s="398">
        <v>40</v>
      </c>
      <c r="B320" s="132" t="s">
        <v>1983</v>
      </c>
      <c r="C320" s="439" t="s">
        <v>1984</v>
      </c>
      <c r="D320" s="440" t="s">
        <v>221</v>
      </c>
      <c r="E320" s="398" t="s">
        <v>1985</v>
      </c>
      <c r="F320" s="398" t="s">
        <v>1880</v>
      </c>
      <c r="G320" s="398"/>
      <c r="H320" s="398" t="s">
        <v>281</v>
      </c>
      <c r="I320" s="401" t="s">
        <v>2639</v>
      </c>
      <c r="J320" s="131" t="str">
        <f t="shared" si="4"/>
        <v>13</v>
      </c>
    </row>
    <row r="321" spans="1:10" s="114" customFormat="1" ht="24" hidden="1" customHeight="1">
      <c r="A321" s="398">
        <v>41</v>
      </c>
      <c r="B321" s="132" t="s">
        <v>1924</v>
      </c>
      <c r="C321" s="439" t="s">
        <v>198</v>
      </c>
      <c r="D321" s="440" t="s">
        <v>221</v>
      </c>
      <c r="E321" s="398" t="s">
        <v>1925</v>
      </c>
      <c r="F321" s="398" t="s">
        <v>1880</v>
      </c>
      <c r="G321" s="398"/>
      <c r="H321" s="398" t="s">
        <v>281</v>
      </c>
      <c r="I321" s="401"/>
      <c r="J321" s="131" t="str">
        <f t="shared" si="4"/>
        <v>13</v>
      </c>
    </row>
    <row r="322" spans="1:10" s="114" customFormat="1" ht="24" hidden="1" customHeight="1">
      <c r="A322" s="398">
        <v>42</v>
      </c>
      <c r="B322" s="132" t="s">
        <v>1986</v>
      </c>
      <c r="C322" s="439" t="s">
        <v>1987</v>
      </c>
      <c r="D322" s="440" t="s">
        <v>350</v>
      </c>
      <c r="E322" s="398" t="s">
        <v>1988</v>
      </c>
      <c r="F322" s="398" t="s">
        <v>1880</v>
      </c>
      <c r="G322" s="398"/>
      <c r="H322" s="398" t="s">
        <v>281</v>
      </c>
      <c r="I322" s="401" t="s">
        <v>2639</v>
      </c>
      <c r="J322" s="131" t="str">
        <f t="shared" si="4"/>
        <v>13</v>
      </c>
    </row>
    <row r="323" spans="1:10" s="114" customFormat="1" ht="24" hidden="1" customHeight="1">
      <c r="A323" s="398">
        <v>43</v>
      </c>
      <c r="B323" s="132" t="s">
        <v>1926</v>
      </c>
      <c r="C323" s="439" t="s">
        <v>1927</v>
      </c>
      <c r="D323" s="440" t="s">
        <v>352</v>
      </c>
      <c r="E323" s="398" t="s">
        <v>1928</v>
      </c>
      <c r="F323" s="398" t="s">
        <v>1880</v>
      </c>
      <c r="G323" s="398"/>
      <c r="H323" s="398" t="s">
        <v>281</v>
      </c>
      <c r="I323" s="401"/>
      <c r="J323" s="131" t="str">
        <f t="shared" ref="J323:J386" si="5">LEFT(F323,2)</f>
        <v>13</v>
      </c>
    </row>
    <row r="324" spans="1:10" s="114" customFormat="1" ht="24" hidden="1" customHeight="1">
      <c r="A324" s="398">
        <v>44</v>
      </c>
      <c r="B324" s="132" t="s">
        <v>1989</v>
      </c>
      <c r="C324" s="439" t="s">
        <v>452</v>
      </c>
      <c r="D324" s="440" t="s">
        <v>391</v>
      </c>
      <c r="E324" s="398" t="s">
        <v>1990</v>
      </c>
      <c r="F324" s="398" t="s">
        <v>1880</v>
      </c>
      <c r="G324" s="398"/>
      <c r="H324" s="398" t="s">
        <v>281</v>
      </c>
      <c r="I324" s="401" t="s">
        <v>2639</v>
      </c>
      <c r="J324" s="131" t="str">
        <f t="shared" si="5"/>
        <v>13</v>
      </c>
    </row>
    <row r="325" spans="1:10" s="114" customFormat="1" ht="24" hidden="1" customHeight="1">
      <c r="A325" s="398">
        <v>45</v>
      </c>
      <c r="B325" s="132" t="s">
        <v>1929</v>
      </c>
      <c r="C325" s="439" t="s">
        <v>1930</v>
      </c>
      <c r="D325" s="440" t="s">
        <v>1038</v>
      </c>
      <c r="E325" s="398" t="s">
        <v>1027</v>
      </c>
      <c r="F325" s="398" t="s">
        <v>1880</v>
      </c>
      <c r="G325" s="398"/>
      <c r="H325" s="398" t="s">
        <v>281</v>
      </c>
      <c r="I325" s="401"/>
      <c r="J325" s="131" t="str">
        <f t="shared" si="5"/>
        <v>13</v>
      </c>
    </row>
    <row r="326" spans="1:10" s="114" customFormat="1" ht="24" hidden="1" customHeight="1">
      <c r="A326" s="398">
        <v>46</v>
      </c>
      <c r="B326" s="132" t="s">
        <v>1991</v>
      </c>
      <c r="C326" s="439" t="s">
        <v>1992</v>
      </c>
      <c r="D326" s="440" t="s">
        <v>230</v>
      </c>
      <c r="E326" s="398" t="s">
        <v>1411</v>
      </c>
      <c r="F326" s="398" t="s">
        <v>1880</v>
      </c>
      <c r="G326" s="398"/>
      <c r="H326" s="398" t="s">
        <v>281</v>
      </c>
      <c r="I326" s="401" t="s">
        <v>2639</v>
      </c>
      <c r="J326" s="131" t="str">
        <f t="shared" si="5"/>
        <v>13</v>
      </c>
    </row>
    <row r="327" spans="1:10" s="114" customFormat="1" ht="24" hidden="1" customHeight="1">
      <c r="A327" s="398">
        <v>47</v>
      </c>
      <c r="B327" s="132" t="s">
        <v>1937</v>
      </c>
      <c r="C327" s="439" t="s">
        <v>1938</v>
      </c>
      <c r="D327" s="440" t="s">
        <v>1939</v>
      </c>
      <c r="E327" s="398" t="s">
        <v>1039</v>
      </c>
      <c r="F327" s="398" t="s">
        <v>1880</v>
      </c>
      <c r="G327" s="412"/>
      <c r="H327" s="398" t="s">
        <v>486</v>
      </c>
      <c r="I327" s="420"/>
      <c r="J327" s="131" t="str">
        <f t="shared" si="5"/>
        <v>13</v>
      </c>
    </row>
    <row r="328" spans="1:10" s="114" customFormat="1" ht="24" hidden="1" customHeight="1">
      <c r="A328" s="398">
        <v>48</v>
      </c>
      <c r="B328" s="132" t="s">
        <v>1993</v>
      </c>
      <c r="C328" s="439" t="s">
        <v>1994</v>
      </c>
      <c r="D328" s="440" t="s">
        <v>359</v>
      </c>
      <c r="E328" s="398" t="s">
        <v>381</v>
      </c>
      <c r="F328" s="398" t="s">
        <v>1880</v>
      </c>
      <c r="G328" s="398"/>
      <c r="H328" s="398" t="s">
        <v>281</v>
      </c>
      <c r="I328" s="401" t="s">
        <v>2639</v>
      </c>
      <c r="J328" s="131" t="str">
        <f t="shared" si="5"/>
        <v>13</v>
      </c>
    </row>
    <row r="329" spans="1:10" s="114" customFormat="1" ht="24" hidden="1" customHeight="1">
      <c r="A329" s="398">
        <v>49</v>
      </c>
      <c r="B329" s="132" t="s">
        <v>1995</v>
      </c>
      <c r="C329" s="439" t="s">
        <v>1996</v>
      </c>
      <c r="D329" s="440" t="s">
        <v>236</v>
      </c>
      <c r="E329" s="398" t="s">
        <v>1997</v>
      </c>
      <c r="F329" s="398" t="s">
        <v>1880</v>
      </c>
      <c r="G329" s="398"/>
      <c r="H329" s="398" t="s">
        <v>281</v>
      </c>
      <c r="I329" s="401" t="s">
        <v>2639</v>
      </c>
      <c r="J329" s="131" t="str">
        <f t="shared" si="5"/>
        <v>13</v>
      </c>
    </row>
    <row r="330" spans="1:10" s="114" customFormat="1" ht="24" hidden="1" customHeight="1">
      <c r="A330" s="398">
        <v>50</v>
      </c>
      <c r="B330" s="132" t="s">
        <v>1998</v>
      </c>
      <c r="C330" s="439" t="s">
        <v>1999</v>
      </c>
      <c r="D330" s="440" t="s">
        <v>2000</v>
      </c>
      <c r="E330" s="398" t="s">
        <v>1438</v>
      </c>
      <c r="F330" s="398" t="s">
        <v>1880</v>
      </c>
      <c r="G330" s="398"/>
      <c r="H330" s="398" t="s">
        <v>486</v>
      </c>
      <c r="I330" s="401" t="s">
        <v>2639</v>
      </c>
      <c r="J330" s="131" t="str">
        <f t="shared" si="5"/>
        <v>13</v>
      </c>
    </row>
    <row r="331" spans="1:10" s="114" customFormat="1" ht="24" hidden="1" customHeight="1">
      <c r="A331" s="398">
        <v>51</v>
      </c>
      <c r="B331" s="132" t="s">
        <v>1931</v>
      </c>
      <c r="C331" s="439" t="s">
        <v>1932</v>
      </c>
      <c r="D331" s="440" t="s">
        <v>1040</v>
      </c>
      <c r="E331" s="398" t="s">
        <v>1435</v>
      </c>
      <c r="F331" s="398" t="s">
        <v>1880</v>
      </c>
      <c r="G331" s="398"/>
      <c r="H331" s="398" t="s">
        <v>281</v>
      </c>
      <c r="I331" s="401"/>
      <c r="J331" s="131" t="str">
        <f t="shared" si="5"/>
        <v>13</v>
      </c>
    </row>
    <row r="332" spans="1:10" s="114" customFormat="1" ht="24" hidden="1" customHeight="1">
      <c r="A332" s="398">
        <v>52</v>
      </c>
      <c r="B332" s="132" t="s">
        <v>2001</v>
      </c>
      <c r="C332" s="439" t="s">
        <v>234</v>
      </c>
      <c r="D332" s="440" t="s">
        <v>1040</v>
      </c>
      <c r="E332" s="398" t="s">
        <v>1530</v>
      </c>
      <c r="F332" s="398" t="s">
        <v>1880</v>
      </c>
      <c r="G332" s="398"/>
      <c r="H332" s="398" t="s">
        <v>281</v>
      </c>
      <c r="I332" s="401" t="s">
        <v>2639</v>
      </c>
      <c r="J332" s="131" t="str">
        <f t="shared" si="5"/>
        <v>13</v>
      </c>
    </row>
    <row r="333" spans="1:10" s="114" customFormat="1" ht="24" hidden="1" customHeight="1">
      <c r="A333" s="398">
        <v>53</v>
      </c>
      <c r="B333" s="132" t="s">
        <v>1933</v>
      </c>
      <c r="C333" s="439" t="s">
        <v>224</v>
      </c>
      <c r="D333" s="440" t="s">
        <v>1040</v>
      </c>
      <c r="E333" s="398" t="s">
        <v>1312</v>
      </c>
      <c r="F333" s="398" t="s">
        <v>1880</v>
      </c>
      <c r="G333" s="419"/>
      <c r="H333" s="398" t="s">
        <v>281</v>
      </c>
      <c r="I333" s="420"/>
      <c r="J333" s="131" t="str">
        <f t="shared" si="5"/>
        <v>13</v>
      </c>
    </row>
    <row r="334" spans="1:10" s="114" customFormat="1" ht="24" hidden="1" customHeight="1">
      <c r="A334" s="398">
        <v>54</v>
      </c>
      <c r="B334" s="132" t="s">
        <v>1934</v>
      </c>
      <c r="C334" s="439" t="s">
        <v>1578</v>
      </c>
      <c r="D334" s="440" t="s">
        <v>473</v>
      </c>
      <c r="E334" s="398" t="s">
        <v>1498</v>
      </c>
      <c r="F334" s="398" t="s">
        <v>1880</v>
      </c>
      <c r="G334" s="398"/>
      <c r="H334" s="398" t="s">
        <v>281</v>
      </c>
      <c r="I334" s="401" t="s">
        <v>172</v>
      </c>
      <c r="J334" s="131" t="str">
        <f t="shared" si="5"/>
        <v>13</v>
      </c>
    </row>
    <row r="335" spans="1:10" s="114" customFormat="1" ht="24" hidden="1" customHeight="1">
      <c r="A335" s="398">
        <v>55</v>
      </c>
      <c r="B335" s="132" t="s">
        <v>2002</v>
      </c>
      <c r="C335" s="439" t="s">
        <v>443</v>
      </c>
      <c r="D335" s="440" t="s">
        <v>237</v>
      </c>
      <c r="E335" s="398" t="s">
        <v>1702</v>
      </c>
      <c r="F335" s="398" t="s">
        <v>1880</v>
      </c>
      <c r="G335" s="398"/>
      <c r="H335" s="398" t="s">
        <v>281</v>
      </c>
      <c r="I335" s="401" t="s">
        <v>2639</v>
      </c>
      <c r="J335" s="131" t="str">
        <f t="shared" si="5"/>
        <v>13</v>
      </c>
    </row>
    <row r="336" spans="1:10" s="114" customFormat="1" ht="24" hidden="1" customHeight="1" thickBot="1">
      <c r="A336" s="406">
        <v>56</v>
      </c>
      <c r="B336" s="132" t="s">
        <v>1935</v>
      </c>
      <c r="C336" s="441" t="s">
        <v>1936</v>
      </c>
      <c r="D336" s="442" t="s">
        <v>237</v>
      </c>
      <c r="E336" s="406" t="s">
        <v>449</v>
      </c>
      <c r="F336" s="406" t="s">
        <v>1880</v>
      </c>
      <c r="G336" s="406"/>
      <c r="H336" s="406" t="s">
        <v>281</v>
      </c>
      <c r="I336" s="417"/>
      <c r="J336" s="131" t="str">
        <f t="shared" si="5"/>
        <v>13</v>
      </c>
    </row>
    <row r="337" spans="1:10" s="114" customFormat="1" ht="24" hidden="1" customHeight="1">
      <c r="A337" s="408">
        <v>1</v>
      </c>
      <c r="B337" s="132" t="s">
        <v>1207</v>
      </c>
      <c r="C337" s="443" t="s">
        <v>1050</v>
      </c>
      <c r="D337" s="444" t="s">
        <v>1051</v>
      </c>
      <c r="E337" s="408" t="s">
        <v>1658</v>
      </c>
      <c r="F337" s="409" t="s">
        <v>1052</v>
      </c>
      <c r="G337" s="408"/>
      <c r="H337" s="408" t="s">
        <v>281</v>
      </c>
      <c r="I337" s="410" t="s">
        <v>2003</v>
      </c>
      <c r="J337" s="131" t="str">
        <f t="shared" si="5"/>
        <v>13</v>
      </c>
    </row>
    <row r="338" spans="1:10" s="114" customFormat="1" ht="24" hidden="1" customHeight="1">
      <c r="A338" s="398">
        <v>2</v>
      </c>
      <c r="B338" s="132" t="s">
        <v>1208</v>
      </c>
      <c r="C338" s="439" t="s">
        <v>1209</v>
      </c>
      <c r="D338" s="440" t="s">
        <v>1210</v>
      </c>
      <c r="E338" s="398" t="s">
        <v>1126</v>
      </c>
      <c r="F338" s="398" t="s">
        <v>1052</v>
      </c>
      <c r="G338" s="398"/>
      <c r="H338" s="398" t="s">
        <v>281</v>
      </c>
      <c r="I338" s="401" t="s">
        <v>2004</v>
      </c>
      <c r="J338" s="131" t="str">
        <f t="shared" si="5"/>
        <v>13</v>
      </c>
    </row>
    <row r="339" spans="1:10" s="114" customFormat="1" ht="24" hidden="1" customHeight="1">
      <c r="A339" s="398">
        <v>3</v>
      </c>
      <c r="B339" s="132" t="s">
        <v>1211</v>
      </c>
      <c r="C339" s="439" t="s">
        <v>1212</v>
      </c>
      <c r="D339" s="440" t="s">
        <v>1213</v>
      </c>
      <c r="E339" s="398" t="s">
        <v>1545</v>
      </c>
      <c r="F339" s="398" t="s">
        <v>1052</v>
      </c>
      <c r="G339" s="398"/>
      <c r="H339" s="398" t="s">
        <v>281</v>
      </c>
      <c r="I339" s="401" t="s">
        <v>2641</v>
      </c>
      <c r="J339" s="131" t="str">
        <f t="shared" si="5"/>
        <v>13</v>
      </c>
    </row>
    <row r="340" spans="1:10" s="114" customFormat="1" ht="24" hidden="1" customHeight="1">
      <c r="A340" s="398">
        <v>4</v>
      </c>
      <c r="B340" s="132" t="s">
        <v>1214</v>
      </c>
      <c r="C340" s="439" t="s">
        <v>1215</v>
      </c>
      <c r="D340" s="440" t="s">
        <v>1216</v>
      </c>
      <c r="E340" s="398" t="s">
        <v>1490</v>
      </c>
      <c r="F340" s="398" t="s">
        <v>1052</v>
      </c>
      <c r="G340" s="398"/>
      <c r="H340" s="398" t="s">
        <v>281</v>
      </c>
      <c r="I340" s="401" t="s">
        <v>2005</v>
      </c>
      <c r="J340" s="131" t="str">
        <f t="shared" si="5"/>
        <v>13</v>
      </c>
    </row>
    <row r="341" spans="1:10" s="114" customFormat="1" ht="24" hidden="1" customHeight="1">
      <c r="A341" s="398">
        <v>5</v>
      </c>
      <c r="B341" s="132" t="s">
        <v>1217</v>
      </c>
      <c r="C341" s="439" t="s">
        <v>1053</v>
      </c>
      <c r="D341" s="440" t="s">
        <v>427</v>
      </c>
      <c r="E341" s="398" t="s">
        <v>2006</v>
      </c>
      <c r="F341" s="398" t="s">
        <v>1052</v>
      </c>
      <c r="G341" s="398"/>
      <c r="H341" s="398" t="s">
        <v>281</v>
      </c>
      <c r="I341" s="401"/>
      <c r="J341" s="131" t="str">
        <f t="shared" si="5"/>
        <v>13</v>
      </c>
    </row>
    <row r="342" spans="1:10" s="115" customFormat="1" ht="24" hidden="1" customHeight="1">
      <c r="A342" s="398">
        <v>6</v>
      </c>
      <c r="B342" s="132" t="s">
        <v>2286</v>
      </c>
      <c r="C342" s="439" t="s">
        <v>2287</v>
      </c>
      <c r="D342" s="440" t="s">
        <v>1220</v>
      </c>
      <c r="E342" s="398" t="s">
        <v>2288</v>
      </c>
      <c r="F342" s="398" t="s">
        <v>1052</v>
      </c>
      <c r="G342" s="398"/>
      <c r="H342" s="398" t="s">
        <v>281</v>
      </c>
      <c r="I342" s="401" t="s">
        <v>2642</v>
      </c>
      <c r="J342" s="131" t="str">
        <f t="shared" si="5"/>
        <v>13</v>
      </c>
    </row>
    <row r="343" spans="1:10" s="114" customFormat="1" ht="24" hidden="1" customHeight="1">
      <c r="A343" s="398">
        <v>7</v>
      </c>
      <c r="B343" s="132" t="s">
        <v>1218</v>
      </c>
      <c r="C343" s="439" t="s">
        <v>1219</v>
      </c>
      <c r="D343" s="440" t="s">
        <v>1220</v>
      </c>
      <c r="E343" s="398" t="s">
        <v>2007</v>
      </c>
      <c r="F343" s="398" t="s">
        <v>1052</v>
      </c>
      <c r="G343" s="398"/>
      <c r="H343" s="398" t="s">
        <v>281</v>
      </c>
      <c r="I343" s="401" t="s">
        <v>2004</v>
      </c>
      <c r="J343" s="131" t="str">
        <f t="shared" si="5"/>
        <v>13</v>
      </c>
    </row>
    <row r="344" spans="1:10" s="115" customFormat="1" ht="24" hidden="1" customHeight="1">
      <c r="A344" s="398">
        <v>8</v>
      </c>
      <c r="B344" s="132" t="s">
        <v>2290</v>
      </c>
      <c r="C344" s="439" t="s">
        <v>467</v>
      </c>
      <c r="D344" s="440" t="s">
        <v>197</v>
      </c>
      <c r="E344" s="398" t="s">
        <v>1068</v>
      </c>
      <c r="F344" s="398" t="s">
        <v>1052</v>
      </c>
      <c r="G344" s="400" t="s">
        <v>360</v>
      </c>
      <c r="H344" s="398" t="s">
        <v>281</v>
      </c>
      <c r="I344" s="401" t="s">
        <v>2642</v>
      </c>
      <c r="J344" s="131" t="str">
        <f t="shared" si="5"/>
        <v>13</v>
      </c>
    </row>
    <row r="345" spans="1:10" s="115" customFormat="1" ht="24" hidden="1" customHeight="1">
      <c r="A345" s="398">
        <v>9</v>
      </c>
      <c r="B345" s="132" t="s">
        <v>1229</v>
      </c>
      <c r="C345" s="439" t="s">
        <v>1054</v>
      </c>
      <c r="D345" s="440" t="s">
        <v>289</v>
      </c>
      <c r="E345" s="398" t="s">
        <v>2011</v>
      </c>
      <c r="F345" s="398" t="s">
        <v>1052</v>
      </c>
      <c r="G345" s="398"/>
      <c r="H345" s="398" t="s">
        <v>281</v>
      </c>
      <c r="I345" s="401"/>
      <c r="J345" s="131" t="str">
        <f t="shared" si="5"/>
        <v>13</v>
      </c>
    </row>
    <row r="346" spans="1:10" s="114" customFormat="1" ht="24" hidden="1" customHeight="1">
      <c r="A346" s="398">
        <v>10</v>
      </c>
      <c r="B346" s="132" t="s">
        <v>2294</v>
      </c>
      <c r="C346" s="439" t="s">
        <v>2295</v>
      </c>
      <c r="D346" s="440" t="s">
        <v>364</v>
      </c>
      <c r="E346" s="398" t="s">
        <v>2296</v>
      </c>
      <c r="F346" s="398" t="s">
        <v>1052</v>
      </c>
      <c r="G346" s="398"/>
      <c r="H346" s="398" t="s">
        <v>281</v>
      </c>
      <c r="I346" s="401" t="s">
        <v>2642</v>
      </c>
      <c r="J346" s="131" t="str">
        <f t="shared" si="5"/>
        <v>13</v>
      </c>
    </row>
    <row r="347" spans="1:10" s="114" customFormat="1" ht="24" hidden="1" customHeight="1">
      <c r="A347" s="398">
        <v>11</v>
      </c>
      <c r="B347" s="132" t="s">
        <v>1221</v>
      </c>
      <c r="C347" s="439" t="s">
        <v>195</v>
      </c>
      <c r="D347" s="440" t="s">
        <v>1222</v>
      </c>
      <c r="E347" s="398" t="s">
        <v>2008</v>
      </c>
      <c r="F347" s="398" t="s">
        <v>1052</v>
      </c>
      <c r="G347" s="398"/>
      <c r="H347" s="398" t="s">
        <v>281</v>
      </c>
      <c r="I347" s="401" t="s">
        <v>2004</v>
      </c>
      <c r="J347" s="131" t="str">
        <f t="shared" si="5"/>
        <v>13</v>
      </c>
    </row>
    <row r="348" spans="1:10" s="114" customFormat="1" ht="24" hidden="1" customHeight="1">
      <c r="A348" s="398">
        <v>12</v>
      </c>
      <c r="B348" s="132" t="s">
        <v>2297</v>
      </c>
      <c r="C348" s="439" t="s">
        <v>2298</v>
      </c>
      <c r="D348" s="440" t="s">
        <v>291</v>
      </c>
      <c r="E348" s="398" t="s">
        <v>387</v>
      </c>
      <c r="F348" s="398" t="s">
        <v>1052</v>
      </c>
      <c r="G348" s="398"/>
      <c r="H348" s="398" t="s">
        <v>281</v>
      </c>
      <c r="I348" s="401" t="s">
        <v>2642</v>
      </c>
      <c r="J348" s="131" t="str">
        <f t="shared" si="5"/>
        <v>13</v>
      </c>
    </row>
    <row r="349" spans="1:10" s="115" customFormat="1" ht="24" hidden="1" customHeight="1">
      <c r="A349" s="398">
        <v>13</v>
      </c>
      <c r="B349" s="132" t="s">
        <v>2291</v>
      </c>
      <c r="C349" s="439" t="s">
        <v>1679</v>
      </c>
      <c r="D349" s="440" t="s">
        <v>363</v>
      </c>
      <c r="E349" s="398" t="s">
        <v>374</v>
      </c>
      <c r="F349" s="398" t="s">
        <v>1052</v>
      </c>
      <c r="G349" s="398"/>
      <c r="H349" s="398" t="s">
        <v>281</v>
      </c>
      <c r="I349" s="401" t="s">
        <v>2642</v>
      </c>
      <c r="J349" s="131" t="str">
        <f t="shared" si="5"/>
        <v>13</v>
      </c>
    </row>
    <row r="350" spans="1:10" s="114" customFormat="1" ht="24" hidden="1" customHeight="1">
      <c r="A350" s="398">
        <v>14</v>
      </c>
      <c r="B350" s="132" t="s">
        <v>1223</v>
      </c>
      <c r="C350" s="439" t="s">
        <v>439</v>
      </c>
      <c r="D350" s="440" t="s">
        <v>1224</v>
      </c>
      <c r="E350" s="398" t="s">
        <v>2009</v>
      </c>
      <c r="F350" s="398" t="s">
        <v>1052</v>
      </c>
      <c r="G350" s="398"/>
      <c r="H350" s="398" t="s">
        <v>281</v>
      </c>
      <c r="I350" s="401" t="s">
        <v>2004</v>
      </c>
      <c r="J350" s="131" t="str">
        <f t="shared" si="5"/>
        <v>13</v>
      </c>
    </row>
    <row r="351" spans="1:10" s="115" customFormat="1" ht="24" hidden="1" customHeight="1">
      <c r="A351" s="398">
        <v>15</v>
      </c>
      <c r="B351" s="132" t="s">
        <v>1225</v>
      </c>
      <c r="C351" s="439" t="s">
        <v>462</v>
      </c>
      <c r="D351" s="440" t="s">
        <v>287</v>
      </c>
      <c r="E351" s="398" t="s">
        <v>466</v>
      </c>
      <c r="F351" s="398" t="s">
        <v>1052</v>
      </c>
      <c r="G351" s="398"/>
      <c r="H351" s="398" t="s">
        <v>281</v>
      </c>
      <c r="I351" s="401" t="s">
        <v>2004</v>
      </c>
      <c r="J351" s="131" t="str">
        <f t="shared" si="5"/>
        <v>13</v>
      </c>
    </row>
    <row r="352" spans="1:10" s="115" customFormat="1" ht="24" hidden="1" customHeight="1">
      <c r="A352" s="398">
        <v>16</v>
      </c>
      <c r="B352" s="132" t="s">
        <v>1226</v>
      </c>
      <c r="C352" s="439" t="s">
        <v>1227</v>
      </c>
      <c r="D352" s="440" t="s">
        <v>287</v>
      </c>
      <c r="E352" s="398" t="s">
        <v>970</v>
      </c>
      <c r="F352" s="398" t="s">
        <v>1052</v>
      </c>
      <c r="G352" s="398"/>
      <c r="H352" s="398" t="s">
        <v>281</v>
      </c>
      <c r="I352" s="401" t="s">
        <v>2004</v>
      </c>
      <c r="J352" s="131" t="str">
        <f t="shared" si="5"/>
        <v>13</v>
      </c>
    </row>
    <row r="353" spans="1:10" s="115" customFormat="1" ht="24" hidden="1" customHeight="1">
      <c r="A353" s="398">
        <v>17</v>
      </c>
      <c r="B353" s="132" t="s">
        <v>1228</v>
      </c>
      <c r="C353" s="439" t="s">
        <v>439</v>
      </c>
      <c r="D353" s="440" t="s">
        <v>287</v>
      </c>
      <c r="E353" s="398" t="s">
        <v>2010</v>
      </c>
      <c r="F353" s="398" t="s">
        <v>1052</v>
      </c>
      <c r="G353" s="398"/>
      <c r="H353" s="398" t="s">
        <v>281</v>
      </c>
      <c r="I353" s="401" t="s">
        <v>2004</v>
      </c>
      <c r="J353" s="131" t="str">
        <f t="shared" si="5"/>
        <v>13</v>
      </c>
    </row>
    <row r="354" spans="1:10" s="114" customFormat="1" ht="24" hidden="1" customHeight="1">
      <c r="A354" s="398">
        <v>18</v>
      </c>
      <c r="B354" s="132" t="s">
        <v>2292</v>
      </c>
      <c r="C354" s="439" t="s">
        <v>1122</v>
      </c>
      <c r="D354" s="440" t="s">
        <v>287</v>
      </c>
      <c r="E354" s="398" t="s">
        <v>2293</v>
      </c>
      <c r="F354" s="398" t="s">
        <v>1052</v>
      </c>
      <c r="G354" s="398"/>
      <c r="H354" s="398" t="s">
        <v>281</v>
      </c>
      <c r="I354" s="401" t="s">
        <v>2642</v>
      </c>
      <c r="J354" s="131" t="str">
        <f t="shared" si="5"/>
        <v>13</v>
      </c>
    </row>
    <row r="355" spans="1:10" s="115" customFormat="1" ht="24" hidden="1" customHeight="1">
      <c r="A355" s="398">
        <v>19</v>
      </c>
      <c r="B355" s="132" t="s">
        <v>2299</v>
      </c>
      <c r="C355" s="439" t="s">
        <v>2300</v>
      </c>
      <c r="D355" s="440" t="s">
        <v>202</v>
      </c>
      <c r="E355" s="398" t="s">
        <v>2301</v>
      </c>
      <c r="F355" s="398" t="s">
        <v>1052</v>
      </c>
      <c r="G355" s="398"/>
      <c r="H355" s="398" t="s">
        <v>281</v>
      </c>
      <c r="I355" s="401" t="s">
        <v>2642</v>
      </c>
      <c r="J355" s="131" t="str">
        <f t="shared" si="5"/>
        <v>13</v>
      </c>
    </row>
    <row r="356" spans="1:10" s="114" customFormat="1" ht="24" hidden="1" customHeight="1">
      <c r="A356" s="398">
        <v>20</v>
      </c>
      <c r="B356" s="132" t="s">
        <v>1230</v>
      </c>
      <c r="C356" s="439" t="s">
        <v>445</v>
      </c>
      <c r="D356" s="440" t="s">
        <v>202</v>
      </c>
      <c r="E356" s="398" t="s">
        <v>1055</v>
      </c>
      <c r="F356" s="398" t="s">
        <v>1052</v>
      </c>
      <c r="G356" s="398"/>
      <c r="H356" s="398" t="s">
        <v>281</v>
      </c>
      <c r="I356" s="401"/>
      <c r="J356" s="131" t="str">
        <f t="shared" si="5"/>
        <v>13</v>
      </c>
    </row>
    <row r="357" spans="1:10" s="114" customFormat="1" ht="24" hidden="1" customHeight="1">
      <c r="A357" s="398">
        <v>21</v>
      </c>
      <c r="B357" s="132" t="s">
        <v>1231</v>
      </c>
      <c r="C357" s="439" t="s">
        <v>367</v>
      </c>
      <c r="D357" s="440" t="s">
        <v>403</v>
      </c>
      <c r="E357" s="398" t="s">
        <v>2012</v>
      </c>
      <c r="F357" s="398" t="s">
        <v>1052</v>
      </c>
      <c r="G357" s="398"/>
      <c r="H357" s="398" t="s">
        <v>281</v>
      </c>
      <c r="I357" s="401"/>
      <c r="J357" s="131" t="str">
        <f t="shared" si="5"/>
        <v>13</v>
      </c>
    </row>
    <row r="358" spans="1:10" s="115" customFormat="1" ht="24" hidden="1" customHeight="1">
      <c r="A358" s="398">
        <v>22</v>
      </c>
      <c r="B358" s="132" t="s">
        <v>1232</v>
      </c>
      <c r="C358" s="439" t="s">
        <v>201</v>
      </c>
      <c r="D358" s="440" t="s">
        <v>435</v>
      </c>
      <c r="E358" s="398" t="s">
        <v>1056</v>
      </c>
      <c r="F358" s="398" t="s">
        <v>1052</v>
      </c>
      <c r="G358" s="398"/>
      <c r="H358" s="398" t="s">
        <v>281</v>
      </c>
      <c r="I358" s="401"/>
      <c r="J358" s="131" t="str">
        <f t="shared" si="5"/>
        <v>13</v>
      </c>
    </row>
    <row r="359" spans="1:10" s="114" customFormat="1" ht="24" hidden="1" customHeight="1">
      <c r="A359" s="398">
        <v>23</v>
      </c>
      <c r="B359" s="132" t="s">
        <v>2302</v>
      </c>
      <c r="C359" s="439" t="s">
        <v>2303</v>
      </c>
      <c r="D359" s="440" t="s">
        <v>1022</v>
      </c>
      <c r="E359" s="398" t="s">
        <v>2304</v>
      </c>
      <c r="F359" s="398" t="s">
        <v>1052</v>
      </c>
      <c r="G359" s="398"/>
      <c r="H359" s="398" t="s">
        <v>281</v>
      </c>
      <c r="I359" s="401" t="s">
        <v>2642</v>
      </c>
      <c r="J359" s="131" t="str">
        <f t="shared" si="5"/>
        <v>13</v>
      </c>
    </row>
    <row r="360" spans="1:10" s="115" customFormat="1" ht="24" hidden="1" customHeight="1">
      <c r="A360" s="398">
        <v>24</v>
      </c>
      <c r="B360" s="132" t="s">
        <v>2305</v>
      </c>
      <c r="C360" s="439" t="s">
        <v>201</v>
      </c>
      <c r="D360" s="440" t="s">
        <v>366</v>
      </c>
      <c r="E360" s="398" t="s">
        <v>1290</v>
      </c>
      <c r="F360" s="398" t="s">
        <v>1052</v>
      </c>
      <c r="G360" s="398"/>
      <c r="H360" s="398" t="s">
        <v>486</v>
      </c>
      <c r="I360" s="401" t="s">
        <v>2642</v>
      </c>
      <c r="J360" s="131" t="str">
        <f t="shared" si="5"/>
        <v>13</v>
      </c>
    </row>
    <row r="361" spans="1:10" s="115" customFormat="1" ht="24" hidden="1" customHeight="1">
      <c r="A361" s="398">
        <v>25</v>
      </c>
      <c r="B361" s="132" t="s">
        <v>1233</v>
      </c>
      <c r="C361" s="439" t="s">
        <v>201</v>
      </c>
      <c r="D361" s="440" t="s">
        <v>438</v>
      </c>
      <c r="E361" s="398" t="s">
        <v>980</v>
      </c>
      <c r="F361" s="398" t="s">
        <v>1052</v>
      </c>
      <c r="G361" s="398"/>
      <c r="H361" s="398" t="s">
        <v>281</v>
      </c>
      <c r="I361" s="401"/>
      <c r="J361" s="131" t="str">
        <f t="shared" si="5"/>
        <v>13</v>
      </c>
    </row>
    <row r="362" spans="1:10" s="115" customFormat="1" ht="24" hidden="1" customHeight="1">
      <c r="A362" s="398">
        <v>26</v>
      </c>
      <c r="B362" s="132" t="s">
        <v>1234</v>
      </c>
      <c r="C362" s="439" t="s">
        <v>198</v>
      </c>
      <c r="D362" s="440" t="s">
        <v>406</v>
      </c>
      <c r="E362" s="398" t="s">
        <v>2013</v>
      </c>
      <c r="F362" s="398" t="s">
        <v>1052</v>
      </c>
      <c r="G362" s="400"/>
      <c r="H362" s="398" t="s">
        <v>281</v>
      </c>
      <c r="I362" s="401"/>
      <c r="J362" s="131" t="str">
        <f t="shared" si="5"/>
        <v>13</v>
      </c>
    </row>
    <row r="363" spans="1:10" s="115" customFormat="1" ht="24" hidden="1" customHeight="1">
      <c r="A363" s="398">
        <v>27</v>
      </c>
      <c r="B363" s="132" t="s">
        <v>2306</v>
      </c>
      <c r="C363" s="439" t="s">
        <v>1050</v>
      </c>
      <c r="D363" s="440" t="s">
        <v>406</v>
      </c>
      <c r="E363" s="398" t="s">
        <v>2307</v>
      </c>
      <c r="F363" s="398" t="s">
        <v>1052</v>
      </c>
      <c r="G363" s="398"/>
      <c r="H363" s="398" t="s">
        <v>281</v>
      </c>
      <c r="I363" s="401" t="s">
        <v>2642</v>
      </c>
      <c r="J363" s="131" t="str">
        <f t="shared" si="5"/>
        <v>13</v>
      </c>
    </row>
    <row r="364" spans="1:10" s="115" customFormat="1" ht="24" hidden="1" customHeight="1">
      <c r="A364" s="398">
        <v>28</v>
      </c>
      <c r="B364" s="132" t="s">
        <v>2308</v>
      </c>
      <c r="C364" s="439" t="s">
        <v>1391</v>
      </c>
      <c r="D364" s="440" t="s">
        <v>207</v>
      </c>
      <c r="E364" s="398" t="s">
        <v>1123</v>
      </c>
      <c r="F364" s="398" t="s">
        <v>1052</v>
      </c>
      <c r="G364" s="398"/>
      <c r="H364" s="398" t="s">
        <v>281</v>
      </c>
      <c r="I364" s="401" t="s">
        <v>2642</v>
      </c>
      <c r="J364" s="131" t="str">
        <f t="shared" si="5"/>
        <v>13</v>
      </c>
    </row>
    <row r="365" spans="1:10" s="114" customFormat="1" ht="24" hidden="1" customHeight="1">
      <c r="A365" s="398">
        <v>29</v>
      </c>
      <c r="B365" s="132" t="s">
        <v>1235</v>
      </c>
      <c r="C365" s="439" t="s">
        <v>212</v>
      </c>
      <c r="D365" s="440" t="s">
        <v>1057</v>
      </c>
      <c r="E365" s="398" t="s">
        <v>1495</v>
      </c>
      <c r="F365" s="398" t="s">
        <v>1052</v>
      </c>
      <c r="G365" s="398"/>
      <c r="H365" s="398" t="s">
        <v>281</v>
      </c>
      <c r="I365" s="401" t="s">
        <v>177</v>
      </c>
      <c r="J365" s="131" t="str">
        <f t="shared" si="5"/>
        <v>13</v>
      </c>
    </row>
    <row r="366" spans="1:10" s="114" customFormat="1" ht="24" hidden="1" customHeight="1">
      <c r="A366" s="398">
        <v>30</v>
      </c>
      <c r="B366" s="132" t="s">
        <v>1236</v>
      </c>
      <c r="C366" s="439" t="s">
        <v>209</v>
      </c>
      <c r="D366" s="440" t="s">
        <v>1058</v>
      </c>
      <c r="E366" s="398" t="s">
        <v>1435</v>
      </c>
      <c r="F366" s="398" t="s">
        <v>1052</v>
      </c>
      <c r="G366" s="398"/>
      <c r="H366" s="398" t="s">
        <v>281</v>
      </c>
      <c r="I366" s="401"/>
      <c r="J366" s="131" t="str">
        <f t="shared" si="5"/>
        <v>13</v>
      </c>
    </row>
    <row r="367" spans="1:10" s="115" customFormat="1" ht="24" hidden="1" customHeight="1">
      <c r="A367" s="398">
        <v>31</v>
      </c>
      <c r="B367" s="132" t="s">
        <v>1237</v>
      </c>
      <c r="C367" s="439" t="s">
        <v>1059</v>
      </c>
      <c r="D367" s="440" t="s">
        <v>455</v>
      </c>
      <c r="E367" s="398" t="s">
        <v>1060</v>
      </c>
      <c r="F367" s="398" t="s">
        <v>1052</v>
      </c>
      <c r="G367" s="398"/>
      <c r="H367" s="398" t="s">
        <v>281</v>
      </c>
      <c r="I367" s="401" t="s">
        <v>2014</v>
      </c>
      <c r="J367" s="131" t="str">
        <f t="shared" si="5"/>
        <v>13</v>
      </c>
    </row>
    <row r="368" spans="1:10" s="115" customFormat="1" ht="24" hidden="1" customHeight="1">
      <c r="A368" s="398">
        <v>32</v>
      </c>
      <c r="B368" s="132" t="s">
        <v>1238</v>
      </c>
      <c r="C368" s="439" t="s">
        <v>442</v>
      </c>
      <c r="D368" s="440" t="s">
        <v>1061</v>
      </c>
      <c r="E368" s="398" t="s">
        <v>1707</v>
      </c>
      <c r="F368" s="398" t="s">
        <v>1052</v>
      </c>
      <c r="G368" s="400"/>
      <c r="H368" s="398" t="s">
        <v>281</v>
      </c>
      <c r="I368" s="401"/>
      <c r="J368" s="131" t="str">
        <f t="shared" si="5"/>
        <v>13</v>
      </c>
    </row>
    <row r="369" spans="1:10" s="115" customFormat="1" ht="24" hidden="1" customHeight="1">
      <c r="A369" s="398">
        <v>33</v>
      </c>
      <c r="B369" s="132" t="s">
        <v>1239</v>
      </c>
      <c r="C369" s="439" t="s">
        <v>1062</v>
      </c>
      <c r="D369" s="440" t="s">
        <v>331</v>
      </c>
      <c r="E369" s="398" t="s">
        <v>1290</v>
      </c>
      <c r="F369" s="398" t="s">
        <v>1052</v>
      </c>
      <c r="G369" s="398"/>
      <c r="H369" s="398" t="s">
        <v>486</v>
      </c>
      <c r="I369" s="401"/>
      <c r="J369" s="131" t="str">
        <f t="shared" si="5"/>
        <v>13</v>
      </c>
    </row>
    <row r="370" spans="1:10" s="114" customFormat="1" ht="24" hidden="1" customHeight="1">
      <c r="A370" s="398">
        <v>34</v>
      </c>
      <c r="B370" s="132" t="s">
        <v>1240</v>
      </c>
      <c r="C370" s="439" t="s">
        <v>416</v>
      </c>
      <c r="D370" s="440" t="s">
        <v>1063</v>
      </c>
      <c r="E370" s="398" t="s">
        <v>1419</v>
      </c>
      <c r="F370" s="398" t="s">
        <v>1052</v>
      </c>
      <c r="G370" s="398"/>
      <c r="H370" s="398" t="s">
        <v>281</v>
      </c>
      <c r="I370" s="401"/>
      <c r="J370" s="131" t="str">
        <f t="shared" si="5"/>
        <v>13</v>
      </c>
    </row>
    <row r="371" spans="1:10" s="114" customFormat="1" ht="24" hidden="1" customHeight="1">
      <c r="A371" s="398">
        <v>35</v>
      </c>
      <c r="B371" s="132" t="s">
        <v>1242</v>
      </c>
      <c r="C371" s="439" t="s">
        <v>1065</v>
      </c>
      <c r="D371" s="440" t="s">
        <v>1035</v>
      </c>
      <c r="E371" s="398" t="s">
        <v>2016</v>
      </c>
      <c r="F371" s="398" t="s">
        <v>1052</v>
      </c>
      <c r="G371" s="398"/>
      <c r="H371" s="398" t="s">
        <v>281</v>
      </c>
      <c r="I371" s="401"/>
      <c r="J371" s="131" t="str">
        <f t="shared" si="5"/>
        <v>13</v>
      </c>
    </row>
    <row r="372" spans="1:10" s="114" customFormat="1" ht="24" hidden="1" customHeight="1">
      <c r="A372" s="398">
        <v>36</v>
      </c>
      <c r="B372" s="132" t="s">
        <v>1241</v>
      </c>
      <c r="C372" s="439" t="s">
        <v>1064</v>
      </c>
      <c r="D372" s="440" t="s">
        <v>335</v>
      </c>
      <c r="E372" s="398" t="s">
        <v>412</v>
      </c>
      <c r="F372" s="398" t="s">
        <v>1052</v>
      </c>
      <c r="G372" s="398"/>
      <c r="H372" s="398" t="s">
        <v>281</v>
      </c>
      <c r="I372" s="401" t="s">
        <v>2015</v>
      </c>
      <c r="J372" s="131" t="str">
        <f t="shared" si="5"/>
        <v>13</v>
      </c>
    </row>
    <row r="373" spans="1:10" s="114" customFormat="1" ht="24" hidden="1" customHeight="1">
      <c r="A373" s="398">
        <v>37</v>
      </c>
      <c r="B373" s="132" t="s">
        <v>1243</v>
      </c>
      <c r="C373" s="439" t="s">
        <v>201</v>
      </c>
      <c r="D373" s="440" t="s">
        <v>340</v>
      </c>
      <c r="E373" s="398" t="s">
        <v>1066</v>
      </c>
      <c r="F373" s="398" t="s">
        <v>1052</v>
      </c>
      <c r="G373" s="398"/>
      <c r="H373" s="398" t="s">
        <v>281</v>
      </c>
      <c r="I373" s="401"/>
      <c r="J373" s="131" t="str">
        <f t="shared" si="5"/>
        <v>13</v>
      </c>
    </row>
    <row r="374" spans="1:10" s="114" customFormat="1" ht="24" hidden="1" customHeight="1">
      <c r="A374" s="398">
        <v>38</v>
      </c>
      <c r="B374" s="132" t="s">
        <v>1244</v>
      </c>
      <c r="C374" s="439" t="s">
        <v>443</v>
      </c>
      <c r="D374" s="440" t="s">
        <v>341</v>
      </c>
      <c r="E374" s="398" t="s">
        <v>1359</v>
      </c>
      <c r="F374" s="398" t="s">
        <v>1052</v>
      </c>
      <c r="G374" s="398"/>
      <c r="H374" s="398" t="s">
        <v>281</v>
      </c>
      <c r="I374" s="401"/>
      <c r="J374" s="131" t="str">
        <f t="shared" si="5"/>
        <v>13</v>
      </c>
    </row>
    <row r="375" spans="1:10" s="114" customFormat="1" ht="24" hidden="1" customHeight="1">
      <c r="A375" s="398">
        <v>39</v>
      </c>
      <c r="B375" s="132" t="s">
        <v>1245</v>
      </c>
      <c r="C375" s="439" t="s">
        <v>357</v>
      </c>
      <c r="D375" s="440" t="s">
        <v>343</v>
      </c>
      <c r="E375" s="398" t="s">
        <v>1067</v>
      </c>
      <c r="F375" s="398" t="s">
        <v>1052</v>
      </c>
      <c r="G375" s="398"/>
      <c r="H375" s="398" t="s">
        <v>281</v>
      </c>
      <c r="I375" s="401"/>
      <c r="J375" s="131" t="str">
        <f t="shared" si="5"/>
        <v>13</v>
      </c>
    </row>
    <row r="376" spans="1:10" s="114" customFormat="1" ht="24" hidden="1" customHeight="1">
      <c r="A376" s="398">
        <v>40</v>
      </c>
      <c r="B376" s="132" t="s">
        <v>1246</v>
      </c>
      <c r="C376" s="439" t="s">
        <v>482</v>
      </c>
      <c r="D376" s="440" t="s">
        <v>384</v>
      </c>
      <c r="E376" s="398" t="s">
        <v>2017</v>
      </c>
      <c r="F376" s="398" t="s">
        <v>1052</v>
      </c>
      <c r="G376" s="398"/>
      <c r="H376" s="398" t="s">
        <v>281</v>
      </c>
      <c r="I376" s="401"/>
      <c r="J376" s="131" t="str">
        <f t="shared" si="5"/>
        <v>13</v>
      </c>
    </row>
    <row r="377" spans="1:10" s="114" customFormat="1" ht="24" hidden="1" customHeight="1">
      <c r="A377" s="398">
        <v>41</v>
      </c>
      <c r="B377" s="132" t="s">
        <v>1247</v>
      </c>
      <c r="C377" s="439" t="s">
        <v>1069</v>
      </c>
      <c r="D377" s="440" t="s">
        <v>223</v>
      </c>
      <c r="E377" s="398" t="s">
        <v>1070</v>
      </c>
      <c r="F377" s="398" t="s">
        <v>1052</v>
      </c>
      <c r="G377" s="398"/>
      <c r="H377" s="398" t="s">
        <v>281</v>
      </c>
      <c r="I377" s="401"/>
      <c r="J377" s="131" t="str">
        <f t="shared" si="5"/>
        <v>13</v>
      </c>
    </row>
    <row r="378" spans="1:10" s="114" customFormat="1" ht="24" hidden="1" customHeight="1">
      <c r="A378" s="398">
        <v>42</v>
      </c>
      <c r="B378" s="132" t="s">
        <v>1248</v>
      </c>
      <c r="C378" s="439" t="s">
        <v>1071</v>
      </c>
      <c r="D378" s="440" t="s">
        <v>350</v>
      </c>
      <c r="E378" s="398" t="s">
        <v>2018</v>
      </c>
      <c r="F378" s="398" t="s">
        <v>1052</v>
      </c>
      <c r="G378" s="398"/>
      <c r="H378" s="398" t="s">
        <v>281</v>
      </c>
      <c r="I378" s="401"/>
      <c r="J378" s="131" t="str">
        <f t="shared" si="5"/>
        <v>13</v>
      </c>
    </row>
    <row r="379" spans="1:10" s="114" customFormat="1" ht="24" hidden="1" customHeight="1">
      <c r="A379" s="398">
        <v>43</v>
      </c>
      <c r="B379" s="132" t="s">
        <v>1249</v>
      </c>
      <c r="C379" s="439" t="s">
        <v>209</v>
      </c>
      <c r="D379" s="440" t="s">
        <v>352</v>
      </c>
      <c r="E379" s="398" t="s">
        <v>338</v>
      </c>
      <c r="F379" s="398" t="s">
        <v>1052</v>
      </c>
      <c r="G379" s="398"/>
      <c r="H379" s="398" t="s">
        <v>281</v>
      </c>
      <c r="I379" s="401"/>
      <c r="J379" s="131" t="str">
        <f t="shared" si="5"/>
        <v>13</v>
      </c>
    </row>
    <row r="380" spans="1:10" s="114" customFormat="1" ht="24" hidden="1" customHeight="1">
      <c r="A380" s="398">
        <v>44</v>
      </c>
      <c r="B380" s="403" t="s">
        <v>2643</v>
      </c>
      <c r="C380" s="439" t="s">
        <v>2644</v>
      </c>
      <c r="D380" s="440" t="s">
        <v>468</v>
      </c>
      <c r="E380" s="398" t="s">
        <v>2486</v>
      </c>
      <c r="F380" s="398" t="s">
        <v>1052</v>
      </c>
      <c r="G380" s="400"/>
      <c r="H380" s="398"/>
      <c r="I380" s="405" t="s">
        <v>2645</v>
      </c>
      <c r="J380" s="131" t="str">
        <f t="shared" si="5"/>
        <v>13</v>
      </c>
    </row>
    <row r="381" spans="1:10" s="114" customFormat="1" ht="24" hidden="1" customHeight="1">
      <c r="A381" s="398">
        <v>45</v>
      </c>
      <c r="B381" s="132" t="s">
        <v>1250</v>
      </c>
      <c r="C381" s="439" t="s">
        <v>1072</v>
      </c>
      <c r="D381" s="440" t="s">
        <v>391</v>
      </c>
      <c r="E381" s="398" t="s">
        <v>2019</v>
      </c>
      <c r="F381" s="398" t="s">
        <v>1052</v>
      </c>
      <c r="G381" s="398"/>
      <c r="H381" s="398" t="s">
        <v>281</v>
      </c>
      <c r="I381" s="401"/>
      <c r="J381" s="131" t="str">
        <f t="shared" si="5"/>
        <v>13</v>
      </c>
    </row>
    <row r="382" spans="1:10" s="114" customFormat="1" ht="24" hidden="1" customHeight="1">
      <c r="A382" s="398">
        <v>46</v>
      </c>
      <c r="B382" s="132" t="s">
        <v>1251</v>
      </c>
      <c r="C382" s="439" t="s">
        <v>1073</v>
      </c>
      <c r="D382" s="440" t="s">
        <v>226</v>
      </c>
      <c r="E382" s="398" t="s">
        <v>1731</v>
      </c>
      <c r="F382" s="398" t="s">
        <v>1052</v>
      </c>
      <c r="G382" s="398"/>
      <c r="H382" s="398" t="s">
        <v>281</v>
      </c>
      <c r="I382" s="401"/>
      <c r="J382" s="131" t="str">
        <f t="shared" si="5"/>
        <v>13</v>
      </c>
    </row>
    <row r="383" spans="1:10" s="114" customFormat="1" ht="24" hidden="1" customHeight="1">
      <c r="A383" s="398">
        <v>47</v>
      </c>
      <c r="B383" s="132" t="s">
        <v>1252</v>
      </c>
      <c r="C383" s="439" t="s">
        <v>201</v>
      </c>
      <c r="D383" s="440" t="s">
        <v>228</v>
      </c>
      <c r="E383" s="398" t="s">
        <v>2020</v>
      </c>
      <c r="F383" s="398" t="s">
        <v>1052</v>
      </c>
      <c r="G383" s="400" t="s">
        <v>360</v>
      </c>
      <c r="H383" s="398" t="s">
        <v>281</v>
      </c>
      <c r="I383" s="401"/>
      <c r="J383" s="131" t="str">
        <f t="shared" si="5"/>
        <v>13</v>
      </c>
    </row>
    <row r="384" spans="1:10" s="115" customFormat="1" ht="24" hidden="1" customHeight="1">
      <c r="A384" s="398">
        <v>48</v>
      </c>
      <c r="B384" s="132" t="s">
        <v>1253</v>
      </c>
      <c r="C384" s="439" t="s">
        <v>195</v>
      </c>
      <c r="D384" s="440" t="s">
        <v>229</v>
      </c>
      <c r="E384" s="398" t="s">
        <v>338</v>
      </c>
      <c r="F384" s="398" t="s">
        <v>1052</v>
      </c>
      <c r="G384" s="398"/>
      <c r="H384" s="398" t="s">
        <v>281</v>
      </c>
      <c r="I384" s="401"/>
      <c r="J384" s="131" t="str">
        <f t="shared" si="5"/>
        <v>13</v>
      </c>
    </row>
    <row r="385" spans="1:10" s="114" customFormat="1" ht="24" hidden="1" customHeight="1">
      <c r="A385" s="398">
        <v>49</v>
      </c>
      <c r="B385" s="132" t="s">
        <v>1254</v>
      </c>
      <c r="C385" s="439" t="s">
        <v>448</v>
      </c>
      <c r="D385" s="440" t="s">
        <v>418</v>
      </c>
      <c r="E385" s="398" t="s">
        <v>1275</v>
      </c>
      <c r="F385" s="398" t="s">
        <v>1052</v>
      </c>
      <c r="G385" s="398"/>
      <c r="H385" s="398" t="s">
        <v>281</v>
      </c>
      <c r="I385" s="401"/>
      <c r="J385" s="131" t="str">
        <f t="shared" si="5"/>
        <v>13</v>
      </c>
    </row>
    <row r="386" spans="1:10" s="115" customFormat="1" ht="24" hidden="1" customHeight="1">
      <c r="A386" s="398">
        <v>50</v>
      </c>
      <c r="B386" s="132" t="s">
        <v>1255</v>
      </c>
      <c r="C386" s="439" t="s">
        <v>986</v>
      </c>
      <c r="D386" s="440" t="s">
        <v>394</v>
      </c>
      <c r="E386" s="398" t="s">
        <v>1074</v>
      </c>
      <c r="F386" s="398" t="s">
        <v>1052</v>
      </c>
      <c r="G386" s="400" t="s">
        <v>336</v>
      </c>
      <c r="H386" s="398" t="s">
        <v>281</v>
      </c>
      <c r="I386" s="401"/>
      <c r="J386" s="131" t="str">
        <f t="shared" si="5"/>
        <v>13</v>
      </c>
    </row>
    <row r="387" spans="1:10" s="114" customFormat="1" ht="24" hidden="1" customHeight="1">
      <c r="A387" s="398">
        <v>51</v>
      </c>
      <c r="B387" s="132" t="s">
        <v>1256</v>
      </c>
      <c r="C387" s="439" t="s">
        <v>201</v>
      </c>
      <c r="D387" s="440" t="s">
        <v>1075</v>
      </c>
      <c r="E387" s="398" t="s">
        <v>2021</v>
      </c>
      <c r="F387" s="398" t="s">
        <v>1052</v>
      </c>
      <c r="G387" s="398"/>
      <c r="H387" s="398" t="s">
        <v>281</v>
      </c>
      <c r="I387" s="401" t="s">
        <v>2022</v>
      </c>
      <c r="J387" s="131" t="str">
        <f t="shared" ref="J387:J450" si="6">LEFT(F387,2)</f>
        <v>13</v>
      </c>
    </row>
    <row r="388" spans="1:10" s="115" customFormat="1" ht="24" hidden="1" customHeight="1">
      <c r="A388" s="398">
        <v>52</v>
      </c>
      <c r="B388" s="132" t="s">
        <v>1257</v>
      </c>
      <c r="C388" s="439" t="s">
        <v>1076</v>
      </c>
      <c r="D388" s="440" t="s">
        <v>231</v>
      </c>
      <c r="E388" s="398" t="s">
        <v>1077</v>
      </c>
      <c r="F388" s="398" t="s">
        <v>1052</v>
      </c>
      <c r="G388" s="398"/>
      <c r="H388" s="398" t="s">
        <v>281</v>
      </c>
      <c r="I388" s="401"/>
      <c r="J388" s="131" t="str">
        <f t="shared" si="6"/>
        <v>13</v>
      </c>
    </row>
    <row r="389" spans="1:10" s="115" customFormat="1" ht="24" hidden="1" customHeight="1">
      <c r="A389" s="398">
        <v>53</v>
      </c>
      <c r="B389" s="132" t="s">
        <v>1258</v>
      </c>
      <c r="C389" s="439" t="s">
        <v>1078</v>
      </c>
      <c r="D389" s="440" t="s">
        <v>420</v>
      </c>
      <c r="E389" s="398" t="s">
        <v>2023</v>
      </c>
      <c r="F389" s="398" t="s">
        <v>1052</v>
      </c>
      <c r="G389" s="398"/>
      <c r="H389" s="398" t="s">
        <v>281</v>
      </c>
      <c r="I389" s="401"/>
      <c r="J389" s="131" t="str">
        <f t="shared" si="6"/>
        <v>13</v>
      </c>
    </row>
    <row r="390" spans="1:10" s="115" customFormat="1" ht="24" hidden="1" customHeight="1">
      <c r="A390" s="398">
        <v>54</v>
      </c>
      <c r="B390" s="132" t="s">
        <v>1259</v>
      </c>
      <c r="C390" s="439" t="s">
        <v>1079</v>
      </c>
      <c r="D390" s="440" t="s">
        <v>359</v>
      </c>
      <c r="E390" s="398" t="s">
        <v>983</v>
      </c>
      <c r="F390" s="398" t="s">
        <v>1052</v>
      </c>
      <c r="G390" s="398"/>
      <c r="H390" s="398" t="s">
        <v>281</v>
      </c>
      <c r="I390" s="401"/>
      <c r="J390" s="131" t="str">
        <f t="shared" si="6"/>
        <v>13</v>
      </c>
    </row>
    <row r="391" spans="1:10" s="114" customFormat="1" ht="24" hidden="1" customHeight="1">
      <c r="A391" s="398">
        <v>55</v>
      </c>
      <c r="B391" s="132" t="s">
        <v>1260</v>
      </c>
      <c r="C391" s="439" t="s">
        <v>1080</v>
      </c>
      <c r="D391" s="440" t="s">
        <v>233</v>
      </c>
      <c r="E391" s="398" t="s">
        <v>1990</v>
      </c>
      <c r="F391" s="398" t="s">
        <v>1052</v>
      </c>
      <c r="G391" s="398"/>
      <c r="H391" s="398" t="s">
        <v>281</v>
      </c>
      <c r="I391" s="401"/>
      <c r="J391" s="131" t="str">
        <f t="shared" si="6"/>
        <v>13</v>
      </c>
    </row>
    <row r="392" spans="1:10" s="114" customFormat="1" ht="24" hidden="1" customHeight="1">
      <c r="A392" s="398">
        <v>56</v>
      </c>
      <c r="B392" s="132" t="s">
        <v>1261</v>
      </c>
      <c r="C392" s="439" t="s">
        <v>351</v>
      </c>
      <c r="D392" s="440" t="s">
        <v>422</v>
      </c>
      <c r="E392" s="398" t="s">
        <v>379</v>
      </c>
      <c r="F392" s="398" t="s">
        <v>1052</v>
      </c>
      <c r="G392" s="398"/>
      <c r="H392" s="398" t="s">
        <v>281</v>
      </c>
      <c r="I392" s="401"/>
      <c r="J392" s="131" t="str">
        <f t="shared" si="6"/>
        <v>13</v>
      </c>
    </row>
    <row r="393" spans="1:10" s="115" customFormat="1" ht="24" hidden="1" customHeight="1" thickBot="1">
      <c r="A393" s="406">
        <v>57</v>
      </c>
      <c r="B393" s="132" t="s">
        <v>1262</v>
      </c>
      <c r="C393" s="441" t="s">
        <v>371</v>
      </c>
      <c r="D393" s="442" t="s">
        <v>473</v>
      </c>
      <c r="E393" s="406" t="s">
        <v>449</v>
      </c>
      <c r="F393" s="406" t="s">
        <v>1052</v>
      </c>
      <c r="G393" s="421" t="s">
        <v>330</v>
      </c>
      <c r="H393" s="406" t="s">
        <v>281</v>
      </c>
      <c r="I393" s="417"/>
      <c r="J393" s="131" t="str">
        <f t="shared" si="6"/>
        <v>13</v>
      </c>
    </row>
    <row r="394" spans="1:10" s="114" customFormat="1" ht="24" hidden="1" customHeight="1">
      <c r="A394" s="408">
        <v>1</v>
      </c>
      <c r="B394" s="132" t="s">
        <v>2024</v>
      </c>
      <c r="C394" s="443" t="s">
        <v>2025</v>
      </c>
      <c r="D394" s="444" t="s">
        <v>279</v>
      </c>
      <c r="E394" s="408" t="s">
        <v>1382</v>
      </c>
      <c r="F394" s="409" t="s">
        <v>2027</v>
      </c>
      <c r="G394" s="408"/>
      <c r="H394" s="408" t="s">
        <v>486</v>
      </c>
      <c r="I394" s="410"/>
      <c r="J394" s="131" t="str">
        <f t="shared" si="6"/>
        <v>13</v>
      </c>
    </row>
    <row r="395" spans="1:10" s="114" customFormat="1" ht="24" hidden="1" customHeight="1">
      <c r="A395" s="398">
        <v>2</v>
      </c>
      <c r="B395" s="132" t="s">
        <v>2028</v>
      </c>
      <c r="C395" s="439" t="s">
        <v>2029</v>
      </c>
      <c r="D395" s="440" t="s">
        <v>425</v>
      </c>
      <c r="E395" s="398" t="s">
        <v>469</v>
      </c>
      <c r="F395" s="398" t="s">
        <v>2027</v>
      </c>
      <c r="G395" s="398"/>
      <c r="H395" s="398" t="s">
        <v>281</v>
      </c>
      <c r="I395" s="401"/>
      <c r="J395" s="131" t="str">
        <f t="shared" si="6"/>
        <v>13</v>
      </c>
    </row>
    <row r="396" spans="1:10" s="114" customFormat="1" ht="24" hidden="1" customHeight="1">
      <c r="A396" s="398">
        <v>3</v>
      </c>
      <c r="B396" s="132" t="s">
        <v>2030</v>
      </c>
      <c r="C396" s="439" t="s">
        <v>1663</v>
      </c>
      <c r="D396" s="440" t="s">
        <v>194</v>
      </c>
      <c r="E396" s="398" t="s">
        <v>1081</v>
      </c>
      <c r="F396" s="398" t="s">
        <v>2027</v>
      </c>
      <c r="G396" s="398"/>
      <c r="H396" s="398" t="s">
        <v>281</v>
      </c>
      <c r="I396" s="401"/>
      <c r="J396" s="131" t="str">
        <f t="shared" si="6"/>
        <v>13</v>
      </c>
    </row>
    <row r="397" spans="1:10" s="114" customFormat="1" ht="24" hidden="1" customHeight="1">
      <c r="A397" s="398">
        <v>4</v>
      </c>
      <c r="B397" s="132" t="s">
        <v>2031</v>
      </c>
      <c r="C397" s="439" t="s">
        <v>367</v>
      </c>
      <c r="D397" s="440" t="s">
        <v>1942</v>
      </c>
      <c r="E397" s="398" t="s">
        <v>1359</v>
      </c>
      <c r="F397" s="398" t="s">
        <v>2027</v>
      </c>
      <c r="G397" s="400" t="s">
        <v>336</v>
      </c>
      <c r="H397" s="398" t="s">
        <v>281</v>
      </c>
      <c r="I397" s="401"/>
      <c r="J397" s="131" t="str">
        <f t="shared" si="6"/>
        <v>13</v>
      </c>
    </row>
    <row r="398" spans="1:10" s="115" customFormat="1" ht="24" hidden="1" customHeight="1">
      <c r="A398" s="398">
        <v>5</v>
      </c>
      <c r="B398" s="132" t="s">
        <v>2035</v>
      </c>
      <c r="C398" s="439" t="s">
        <v>356</v>
      </c>
      <c r="D398" s="440" t="s">
        <v>364</v>
      </c>
      <c r="E398" s="398" t="s">
        <v>412</v>
      </c>
      <c r="F398" s="398" t="s">
        <v>2027</v>
      </c>
      <c r="G398" s="398"/>
      <c r="H398" s="398" t="s">
        <v>281</v>
      </c>
      <c r="I398" s="401" t="s">
        <v>2004</v>
      </c>
      <c r="J398" s="131" t="str">
        <f t="shared" si="6"/>
        <v>13</v>
      </c>
    </row>
    <row r="399" spans="1:10" s="114" customFormat="1" ht="24" hidden="1" customHeight="1">
      <c r="A399" s="398">
        <v>6</v>
      </c>
      <c r="B399" s="132" t="s">
        <v>2036</v>
      </c>
      <c r="C399" s="439" t="s">
        <v>1442</v>
      </c>
      <c r="D399" s="440" t="s">
        <v>364</v>
      </c>
      <c r="E399" s="398" t="s">
        <v>2037</v>
      </c>
      <c r="F399" s="398" t="s">
        <v>2027</v>
      </c>
      <c r="G399" s="398"/>
      <c r="H399" s="398" t="s">
        <v>281</v>
      </c>
      <c r="I399" s="401"/>
      <c r="J399" s="131" t="str">
        <f t="shared" si="6"/>
        <v>13</v>
      </c>
    </row>
    <row r="400" spans="1:10" s="115" customFormat="1" ht="24" hidden="1" customHeight="1">
      <c r="A400" s="398">
        <v>7</v>
      </c>
      <c r="B400" s="132" t="s">
        <v>2038</v>
      </c>
      <c r="C400" s="439" t="s">
        <v>2039</v>
      </c>
      <c r="D400" s="440" t="s">
        <v>1127</v>
      </c>
      <c r="E400" s="398" t="s">
        <v>2040</v>
      </c>
      <c r="F400" s="398" t="s">
        <v>2027</v>
      </c>
      <c r="G400" s="398"/>
      <c r="H400" s="398" t="s">
        <v>281</v>
      </c>
      <c r="I400" s="401" t="s">
        <v>2004</v>
      </c>
      <c r="J400" s="131" t="str">
        <f t="shared" si="6"/>
        <v>13</v>
      </c>
    </row>
    <row r="401" spans="1:10" s="115" customFormat="1" ht="24" hidden="1" customHeight="1">
      <c r="A401" s="398">
        <v>8</v>
      </c>
      <c r="B401" s="132" t="s">
        <v>2041</v>
      </c>
      <c r="C401" s="439" t="s">
        <v>484</v>
      </c>
      <c r="D401" s="440" t="s">
        <v>2042</v>
      </c>
      <c r="E401" s="398" t="s">
        <v>2043</v>
      </c>
      <c r="F401" s="398" t="s">
        <v>2027</v>
      </c>
      <c r="G401" s="398"/>
      <c r="H401" s="398" t="s">
        <v>281</v>
      </c>
      <c r="I401" s="401" t="s">
        <v>177</v>
      </c>
      <c r="J401" s="131" t="str">
        <f t="shared" si="6"/>
        <v>13</v>
      </c>
    </row>
    <row r="402" spans="1:10" s="114" customFormat="1" ht="24" hidden="1" customHeight="1">
      <c r="A402" s="398">
        <v>9</v>
      </c>
      <c r="B402" s="132" t="s">
        <v>2032</v>
      </c>
      <c r="C402" s="439" t="s">
        <v>2033</v>
      </c>
      <c r="D402" s="440" t="s">
        <v>478</v>
      </c>
      <c r="E402" s="398" t="s">
        <v>1082</v>
      </c>
      <c r="F402" s="398" t="s">
        <v>2027</v>
      </c>
      <c r="G402" s="398"/>
      <c r="H402" s="398" t="s">
        <v>281</v>
      </c>
      <c r="I402" s="401"/>
      <c r="J402" s="131" t="str">
        <f t="shared" si="6"/>
        <v>13</v>
      </c>
    </row>
    <row r="403" spans="1:10" s="114" customFormat="1" ht="24" hidden="1" customHeight="1">
      <c r="A403" s="398">
        <v>10</v>
      </c>
      <c r="B403" s="132" t="s">
        <v>2044</v>
      </c>
      <c r="C403" s="439" t="s">
        <v>191</v>
      </c>
      <c r="D403" s="440" t="s">
        <v>202</v>
      </c>
      <c r="E403" s="398" t="s">
        <v>481</v>
      </c>
      <c r="F403" s="398" t="s">
        <v>2027</v>
      </c>
      <c r="G403" s="398"/>
      <c r="H403" s="398" t="s">
        <v>281</v>
      </c>
      <c r="I403" s="401" t="s">
        <v>2004</v>
      </c>
      <c r="J403" s="131" t="str">
        <f t="shared" si="6"/>
        <v>13</v>
      </c>
    </row>
    <row r="404" spans="1:10" s="114" customFormat="1" ht="24" hidden="1" customHeight="1">
      <c r="A404" s="398">
        <v>11</v>
      </c>
      <c r="B404" s="132" t="s">
        <v>2045</v>
      </c>
      <c r="C404" s="439" t="s">
        <v>201</v>
      </c>
      <c r="D404" s="440" t="s">
        <v>202</v>
      </c>
      <c r="E404" s="398" t="s">
        <v>2046</v>
      </c>
      <c r="F404" s="398" t="s">
        <v>2027</v>
      </c>
      <c r="G404" s="398"/>
      <c r="H404" s="398" t="s">
        <v>281</v>
      </c>
      <c r="I404" s="401" t="s">
        <v>2004</v>
      </c>
      <c r="J404" s="131" t="str">
        <f t="shared" si="6"/>
        <v>13</v>
      </c>
    </row>
    <row r="405" spans="1:10" s="115" customFormat="1" ht="24" hidden="1" customHeight="1">
      <c r="A405" s="398">
        <v>12</v>
      </c>
      <c r="B405" s="132" t="s">
        <v>2047</v>
      </c>
      <c r="C405" s="439" t="s">
        <v>2048</v>
      </c>
      <c r="D405" s="440" t="s">
        <v>202</v>
      </c>
      <c r="E405" s="398" t="s">
        <v>2049</v>
      </c>
      <c r="F405" s="398" t="s">
        <v>2027</v>
      </c>
      <c r="G405" s="398"/>
      <c r="H405" s="398" t="s">
        <v>281</v>
      </c>
      <c r="I405" s="401"/>
      <c r="J405" s="131" t="str">
        <f t="shared" si="6"/>
        <v>13</v>
      </c>
    </row>
    <row r="406" spans="1:10" s="115" customFormat="1" ht="24" hidden="1" customHeight="1">
      <c r="A406" s="398">
        <v>13</v>
      </c>
      <c r="B406" s="132" t="s">
        <v>2050</v>
      </c>
      <c r="C406" s="439" t="s">
        <v>1083</v>
      </c>
      <c r="D406" s="440" t="s">
        <v>204</v>
      </c>
      <c r="E406" s="398" t="s">
        <v>2019</v>
      </c>
      <c r="F406" s="398" t="s">
        <v>2027</v>
      </c>
      <c r="G406" s="398"/>
      <c r="H406" s="398" t="s">
        <v>281</v>
      </c>
      <c r="I406" s="401"/>
      <c r="J406" s="131" t="str">
        <f t="shared" si="6"/>
        <v>13</v>
      </c>
    </row>
    <row r="407" spans="1:10" s="115" customFormat="1" ht="24" hidden="1" customHeight="1">
      <c r="A407" s="398">
        <v>14</v>
      </c>
      <c r="B407" s="132" t="s">
        <v>2051</v>
      </c>
      <c r="C407" s="439" t="s">
        <v>443</v>
      </c>
      <c r="D407" s="440" t="s">
        <v>366</v>
      </c>
      <c r="E407" s="398" t="s">
        <v>2052</v>
      </c>
      <c r="F407" s="398" t="s">
        <v>2027</v>
      </c>
      <c r="G407" s="400" t="s">
        <v>330</v>
      </c>
      <c r="H407" s="398" t="s">
        <v>281</v>
      </c>
      <c r="I407" s="401"/>
      <c r="J407" s="131" t="str">
        <f t="shared" si="6"/>
        <v>13</v>
      </c>
    </row>
    <row r="408" spans="1:10" s="115" customFormat="1" ht="24" hidden="1" customHeight="1">
      <c r="A408" s="398">
        <v>15</v>
      </c>
      <c r="B408" s="132" t="s">
        <v>2053</v>
      </c>
      <c r="C408" s="439" t="s">
        <v>1775</v>
      </c>
      <c r="D408" s="440" t="s">
        <v>438</v>
      </c>
      <c r="E408" s="398" t="s">
        <v>1321</v>
      </c>
      <c r="F408" s="398" t="s">
        <v>2027</v>
      </c>
      <c r="G408" s="398"/>
      <c r="H408" s="398" t="s">
        <v>281</v>
      </c>
      <c r="I408" s="401"/>
      <c r="J408" s="131" t="str">
        <f t="shared" si="6"/>
        <v>13</v>
      </c>
    </row>
    <row r="409" spans="1:10" s="114" customFormat="1" ht="24" hidden="1" customHeight="1">
      <c r="A409" s="398">
        <v>16</v>
      </c>
      <c r="B409" s="132" t="s">
        <v>2054</v>
      </c>
      <c r="C409" s="439" t="s">
        <v>2055</v>
      </c>
      <c r="D409" s="440" t="s">
        <v>406</v>
      </c>
      <c r="E409" s="398" t="s">
        <v>2056</v>
      </c>
      <c r="F409" s="398" t="s">
        <v>2027</v>
      </c>
      <c r="G409" s="398"/>
      <c r="H409" s="398" t="s">
        <v>486</v>
      </c>
      <c r="I409" s="401"/>
      <c r="J409" s="131" t="str">
        <f t="shared" si="6"/>
        <v>13</v>
      </c>
    </row>
    <row r="410" spans="1:10" s="115" customFormat="1" ht="24" hidden="1" customHeight="1">
      <c r="A410" s="398">
        <v>17</v>
      </c>
      <c r="B410" s="403" t="s">
        <v>2646</v>
      </c>
      <c r="C410" s="439" t="s">
        <v>2647</v>
      </c>
      <c r="D410" s="440" t="s">
        <v>406</v>
      </c>
      <c r="E410" s="398" t="s">
        <v>2648</v>
      </c>
      <c r="F410" s="398" t="s">
        <v>2027</v>
      </c>
      <c r="G410" s="400" t="s">
        <v>325</v>
      </c>
      <c r="H410" s="398" t="s">
        <v>281</v>
      </c>
      <c r="I410" s="405" t="s">
        <v>2649</v>
      </c>
      <c r="J410" s="131" t="str">
        <f t="shared" si="6"/>
        <v>13</v>
      </c>
    </row>
    <row r="411" spans="1:10" s="114" customFormat="1" ht="24" hidden="1" customHeight="1">
      <c r="A411" s="398">
        <v>18</v>
      </c>
      <c r="B411" s="132" t="s">
        <v>2057</v>
      </c>
      <c r="C411" s="439" t="s">
        <v>2058</v>
      </c>
      <c r="D411" s="440" t="s">
        <v>293</v>
      </c>
      <c r="E411" s="398" t="s">
        <v>2059</v>
      </c>
      <c r="F411" s="398" t="s">
        <v>2027</v>
      </c>
      <c r="G411" s="398"/>
      <c r="H411" s="398" t="s">
        <v>281</v>
      </c>
      <c r="I411" s="401"/>
      <c r="J411" s="131" t="str">
        <f t="shared" si="6"/>
        <v>13</v>
      </c>
    </row>
    <row r="412" spans="1:10" s="115" customFormat="1" ht="24" hidden="1" customHeight="1">
      <c r="A412" s="398">
        <v>19</v>
      </c>
      <c r="B412" s="132" t="s">
        <v>2309</v>
      </c>
      <c r="C412" s="439" t="s">
        <v>421</v>
      </c>
      <c r="D412" s="440" t="s">
        <v>296</v>
      </c>
      <c r="E412" s="398" t="s">
        <v>2310</v>
      </c>
      <c r="F412" s="398" t="s">
        <v>2027</v>
      </c>
      <c r="G412" s="398"/>
      <c r="H412" s="398" t="s">
        <v>281</v>
      </c>
      <c r="I412" s="401" t="s">
        <v>2642</v>
      </c>
      <c r="J412" s="131" t="str">
        <f t="shared" si="6"/>
        <v>13</v>
      </c>
    </row>
    <row r="413" spans="1:10" s="115" customFormat="1" ht="24" hidden="1" customHeight="1">
      <c r="A413" s="398">
        <v>20</v>
      </c>
      <c r="B413" s="132" t="s">
        <v>2060</v>
      </c>
      <c r="C413" s="439" t="s">
        <v>2061</v>
      </c>
      <c r="D413" s="440" t="s">
        <v>2062</v>
      </c>
      <c r="E413" s="398" t="s">
        <v>2063</v>
      </c>
      <c r="F413" s="398" t="s">
        <v>2027</v>
      </c>
      <c r="G413" s="398"/>
      <c r="H413" s="398" t="s">
        <v>281</v>
      </c>
      <c r="I413" s="401" t="s">
        <v>172</v>
      </c>
      <c r="J413" s="131" t="str">
        <f t="shared" si="6"/>
        <v>13</v>
      </c>
    </row>
    <row r="414" spans="1:10" s="115" customFormat="1" ht="24" hidden="1" customHeight="1">
      <c r="A414" s="398">
        <v>21</v>
      </c>
      <c r="B414" s="132" t="s">
        <v>2064</v>
      </c>
      <c r="C414" s="439" t="s">
        <v>2065</v>
      </c>
      <c r="D414" s="440" t="s">
        <v>328</v>
      </c>
      <c r="E414" s="398" t="s">
        <v>975</v>
      </c>
      <c r="F414" s="398" t="s">
        <v>2027</v>
      </c>
      <c r="G414" s="398"/>
      <c r="H414" s="398" t="s">
        <v>281</v>
      </c>
      <c r="I414" s="401"/>
      <c r="J414" s="131" t="str">
        <f t="shared" si="6"/>
        <v>13</v>
      </c>
    </row>
    <row r="415" spans="1:10" s="115" customFormat="1" ht="24" hidden="1" customHeight="1">
      <c r="A415" s="398">
        <v>22</v>
      </c>
      <c r="B415" s="132" t="s">
        <v>2311</v>
      </c>
      <c r="C415" s="439" t="s">
        <v>2312</v>
      </c>
      <c r="D415" s="440" t="s">
        <v>328</v>
      </c>
      <c r="E415" s="398" t="s">
        <v>2313</v>
      </c>
      <c r="F415" s="398" t="s">
        <v>2027</v>
      </c>
      <c r="G415" s="398"/>
      <c r="H415" s="398" t="s">
        <v>281</v>
      </c>
      <c r="I415" s="401" t="s">
        <v>2642</v>
      </c>
      <c r="J415" s="131" t="str">
        <f t="shared" si="6"/>
        <v>13</v>
      </c>
    </row>
    <row r="416" spans="1:10" s="115" customFormat="1" ht="24" hidden="1" customHeight="1">
      <c r="A416" s="398">
        <v>23</v>
      </c>
      <c r="B416" s="132" t="s">
        <v>2066</v>
      </c>
      <c r="C416" s="439" t="s">
        <v>209</v>
      </c>
      <c r="D416" s="440" t="s">
        <v>210</v>
      </c>
      <c r="E416" s="398" t="s">
        <v>2067</v>
      </c>
      <c r="F416" s="398" t="s">
        <v>2027</v>
      </c>
      <c r="G416" s="398"/>
      <c r="H416" s="398" t="s">
        <v>486</v>
      </c>
      <c r="I416" s="401"/>
      <c r="J416" s="131" t="str">
        <f t="shared" si="6"/>
        <v>13</v>
      </c>
    </row>
    <row r="417" spans="1:10" s="114" customFormat="1" ht="24" hidden="1" customHeight="1">
      <c r="A417" s="398">
        <v>24</v>
      </c>
      <c r="B417" s="132" t="s">
        <v>2314</v>
      </c>
      <c r="C417" s="439" t="s">
        <v>2315</v>
      </c>
      <c r="D417" s="440" t="s">
        <v>989</v>
      </c>
      <c r="E417" s="398" t="s">
        <v>2316</v>
      </c>
      <c r="F417" s="398" t="s">
        <v>2027</v>
      </c>
      <c r="G417" s="400" t="s">
        <v>330</v>
      </c>
      <c r="H417" s="398" t="s">
        <v>281</v>
      </c>
      <c r="I417" s="401" t="s">
        <v>2642</v>
      </c>
      <c r="J417" s="131" t="str">
        <f t="shared" si="6"/>
        <v>13</v>
      </c>
    </row>
    <row r="418" spans="1:10" s="114" customFormat="1" ht="24" hidden="1" customHeight="1">
      <c r="A418" s="398">
        <v>25</v>
      </c>
      <c r="B418" s="132" t="s">
        <v>2068</v>
      </c>
      <c r="C418" s="439" t="s">
        <v>2069</v>
      </c>
      <c r="D418" s="440" t="s">
        <v>2070</v>
      </c>
      <c r="E418" s="398" t="s">
        <v>405</v>
      </c>
      <c r="F418" s="398" t="s">
        <v>2027</v>
      </c>
      <c r="G418" s="398"/>
      <c r="H418" s="398" t="s">
        <v>281</v>
      </c>
      <c r="I418" s="401"/>
      <c r="J418" s="131" t="str">
        <f t="shared" si="6"/>
        <v>13</v>
      </c>
    </row>
    <row r="419" spans="1:10" s="114" customFormat="1" ht="24" hidden="1" customHeight="1">
      <c r="A419" s="398">
        <v>26</v>
      </c>
      <c r="B419" s="132" t="s">
        <v>2317</v>
      </c>
      <c r="C419" s="439" t="s">
        <v>462</v>
      </c>
      <c r="D419" s="440" t="s">
        <v>1061</v>
      </c>
      <c r="E419" s="398" t="s">
        <v>2078</v>
      </c>
      <c r="F419" s="398" t="s">
        <v>2027</v>
      </c>
      <c r="G419" s="398"/>
      <c r="H419" s="398" t="s">
        <v>281</v>
      </c>
      <c r="I419" s="401" t="s">
        <v>2642</v>
      </c>
      <c r="J419" s="131" t="str">
        <f t="shared" si="6"/>
        <v>13</v>
      </c>
    </row>
    <row r="420" spans="1:10" s="114" customFormat="1" ht="24" hidden="1" customHeight="1">
      <c r="A420" s="398">
        <v>27</v>
      </c>
      <c r="B420" s="132" t="s">
        <v>2071</v>
      </c>
      <c r="C420" s="439" t="s">
        <v>443</v>
      </c>
      <c r="D420" s="440" t="s">
        <v>1513</v>
      </c>
      <c r="E420" s="398" t="s">
        <v>2072</v>
      </c>
      <c r="F420" s="398" t="s">
        <v>2027</v>
      </c>
      <c r="G420" s="398"/>
      <c r="H420" s="398" t="s">
        <v>281</v>
      </c>
      <c r="I420" s="401"/>
      <c r="J420" s="131" t="str">
        <f t="shared" si="6"/>
        <v>13</v>
      </c>
    </row>
    <row r="421" spans="1:10" s="114" customFormat="1" ht="24" hidden="1" customHeight="1">
      <c r="A421" s="398">
        <v>28</v>
      </c>
      <c r="B421" s="132" t="s">
        <v>2318</v>
      </c>
      <c r="C421" s="439" t="s">
        <v>2319</v>
      </c>
      <c r="D421" s="440" t="s">
        <v>331</v>
      </c>
      <c r="E421" s="398" t="s">
        <v>469</v>
      </c>
      <c r="F421" s="398" t="s">
        <v>2027</v>
      </c>
      <c r="G421" s="398"/>
      <c r="H421" s="398" t="s">
        <v>281</v>
      </c>
      <c r="I421" s="401" t="s">
        <v>2642</v>
      </c>
      <c r="J421" s="131" t="str">
        <f t="shared" si="6"/>
        <v>13</v>
      </c>
    </row>
    <row r="422" spans="1:10" s="114" customFormat="1" ht="24" hidden="1" customHeight="1">
      <c r="A422" s="398">
        <v>29</v>
      </c>
      <c r="B422" s="132" t="s">
        <v>2073</v>
      </c>
      <c r="C422" s="439" t="s">
        <v>431</v>
      </c>
      <c r="D422" s="440" t="s">
        <v>331</v>
      </c>
      <c r="E422" s="398" t="s">
        <v>1285</v>
      </c>
      <c r="F422" s="398" t="s">
        <v>2027</v>
      </c>
      <c r="G422" s="398"/>
      <c r="H422" s="398" t="s">
        <v>281</v>
      </c>
      <c r="I422" s="401"/>
      <c r="J422" s="131" t="str">
        <f t="shared" si="6"/>
        <v>13</v>
      </c>
    </row>
    <row r="423" spans="1:10" s="114" customFormat="1" ht="24" hidden="1" customHeight="1">
      <c r="A423" s="398">
        <v>30</v>
      </c>
      <c r="B423" s="132" t="s">
        <v>2320</v>
      </c>
      <c r="C423" s="439" t="s">
        <v>2321</v>
      </c>
      <c r="D423" s="440" t="s">
        <v>333</v>
      </c>
      <c r="E423" s="398" t="s">
        <v>2322</v>
      </c>
      <c r="F423" s="398" t="s">
        <v>2027</v>
      </c>
      <c r="G423" s="398"/>
      <c r="H423" s="398" t="s">
        <v>281</v>
      </c>
      <c r="I423" s="401" t="s">
        <v>2642</v>
      </c>
      <c r="J423" s="131" t="str">
        <f t="shared" si="6"/>
        <v>13</v>
      </c>
    </row>
    <row r="424" spans="1:10" s="114" customFormat="1" ht="24" hidden="1" customHeight="1">
      <c r="A424" s="398">
        <v>31</v>
      </c>
      <c r="B424" s="403" t="s">
        <v>2074</v>
      </c>
      <c r="C424" s="439" t="s">
        <v>2075</v>
      </c>
      <c r="D424" s="440" t="s">
        <v>333</v>
      </c>
      <c r="E424" s="398" t="s">
        <v>2076</v>
      </c>
      <c r="F424" s="398" t="s">
        <v>2027</v>
      </c>
      <c r="G424" s="398"/>
      <c r="H424" s="398" t="s">
        <v>486</v>
      </c>
      <c r="I424" s="404" t="s">
        <v>2650</v>
      </c>
      <c r="J424" s="131" t="str">
        <f t="shared" si="6"/>
        <v>13</v>
      </c>
    </row>
    <row r="425" spans="1:10" s="114" customFormat="1" ht="24" hidden="1" customHeight="1">
      <c r="A425" s="398">
        <v>32</v>
      </c>
      <c r="B425" s="132" t="s">
        <v>2323</v>
      </c>
      <c r="C425" s="439" t="s">
        <v>448</v>
      </c>
      <c r="D425" s="440" t="s">
        <v>334</v>
      </c>
      <c r="E425" s="398" t="s">
        <v>1606</v>
      </c>
      <c r="F425" s="398" t="s">
        <v>2027</v>
      </c>
      <c r="G425" s="398"/>
      <c r="H425" s="398" t="s">
        <v>281</v>
      </c>
      <c r="I425" s="401" t="s">
        <v>2642</v>
      </c>
      <c r="J425" s="131" t="str">
        <f t="shared" si="6"/>
        <v>13</v>
      </c>
    </row>
    <row r="426" spans="1:10" s="114" customFormat="1" ht="24" hidden="1" customHeight="1">
      <c r="A426" s="398">
        <v>33</v>
      </c>
      <c r="B426" s="132" t="s">
        <v>2077</v>
      </c>
      <c r="C426" s="439" t="s">
        <v>195</v>
      </c>
      <c r="D426" s="440" t="s">
        <v>334</v>
      </c>
      <c r="E426" s="398" t="s">
        <v>2078</v>
      </c>
      <c r="F426" s="398" t="s">
        <v>2027</v>
      </c>
      <c r="G426" s="398"/>
      <c r="H426" s="398" t="s">
        <v>281</v>
      </c>
      <c r="I426" s="401"/>
      <c r="J426" s="131" t="str">
        <f t="shared" si="6"/>
        <v>13</v>
      </c>
    </row>
    <row r="427" spans="1:10" s="114" customFormat="1" ht="24" hidden="1" customHeight="1">
      <c r="A427" s="398">
        <v>34</v>
      </c>
      <c r="B427" s="132" t="s">
        <v>2079</v>
      </c>
      <c r="C427" s="439" t="s">
        <v>2080</v>
      </c>
      <c r="D427" s="440" t="s">
        <v>214</v>
      </c>
      <c r="E427" s="398" t="s">
        <v>2081</v>
      </c>
      <c r="F427" s="398" t="s">
        <v>2027</v>
      </c>
      <c r="G427" s="398"/>
      <c r="H427" s="398" t="s">
        <v>281</v>
      </c>
      <c r="I427" s="401"/>
      <c r="J427" s="131" t="str">
        <f t="shared" si="6"/>
        <v>13</v>
      </c>
    </row>
    <row r="428" spans="1:10" s="114" customFormat="1" ht="24" hidden="1" customHeight="1">
      <c r="A428" s="398">
        <v>35</v>
      </c>
      <c r="B428" s="132" t="s">
        <v>2082</v>
      </c>
      <c r="C428" s="439" t="s">
        <v>201</v>
      </c>
      <c r="D428" s="440" t="s">
        <v>340</v>
      </c>
      <c r="E428" s="398" t="s">
        <v>1825</v>
      </c>
      <c r="F428" s="398" t="s">
        <v>2027</v>
      </c>
      <c r="G428" s="398"/>
      <c r="H428" s="398" t="s">
        <v>281</v>
      </c>
      <c r="I428" s="401"/>
      <c r="J428" s="131" t="str">
        <f t="shared" si="6"/>
        <v>13</v>
      </c>
    </row>
    <row r="429" spans="1:10" s="115" customFormat="1" ht="24" hidden="1" customHeight="1">
      <c r="A429" s="398">
        <v>36</v>
      </c>
      <c r="B429" s="132" t="s">
        <v>2328</v>
      </c>
      <c r="C429" s="439" t="s">
        <v>2329</v>
      </c>
      <c r="D429" s="440" t="s">
        <v>215</v>
      </c>
      <c r="E429" s="398" t="s">
        <v>1533</v>
      </c>
      <c r="F429" s="398" t="s">
        <v>2027</v>
      </c>
      <c r="G429" s="398"/>
      <c r="H429" s="398" t="s">
        <v>281</v>
      </c>
      <c r="I429" s="401" t="s">
        <v>2651</v>
      </c>
      <c r="J429" s="131" t="str">
        <f t="shared" si="6"/>
        <v>13</v>
      </c>
    </row>
    <row r="430" spans="1:10" s="114" customFormat="1" ht="24" hidden="1" customHeight="1">
      <c r="A430" s="398">
        <v>37</v>
      </c>
      <c r="B430" s="132" t="s">
        <v>2083</v>
      </c>
      <c r="C430" s="439" t="s">
        <v>1084</v>
      </c>
      <c r="D430" s="440" t="s">
        <v>215</v>
      </c>
      <c r="E430" s="398" t="s">
        <v>1014</v>
      </c>
      <c r="F430" s="398" t="s">
        <v>2027</v>
      </c>
      <c r="G430" s="398"/>
      <c r="H430" s="398" t="s">
        <v>486</v>
      </c>
      <c r="I430" s="401"/>
      <c r="J430" s="131" t="str">
        <f t="shared" si="6"/>
        <v>13</v>
      </c>
    </row>
    <row r="431" spans="1:10" s="114" customFormat="1" ht="24" hidden="1" customHeight="1">
      <c r="A431" s="398">
        <v>38</v>
      </c>
      <c r="B431" s="132" t="s">
        <v>2084</v>
      </c>
      <c r="C431" s="439" t="s">
        <v>198</v>
      </c>
      <c r="D431" s="440" t="s">
        <v>341</v>
      </c>
      <c r="E431" s="398" t="s">
        <v>405</v>
      </c>
      <c r="F431" s="398" t="s">
        <v>2027</v>
      </c>
      <c r="G431" s="400"/>
      <c r="H431" s="398" t="s">
        <v>281</v>
      </c>
      <c r="I431" s="401"/>
      <c r="J431" s="131" t="str">
        <f t="shared" si="6"/>
        <v>13</v>
      </c>
    </row>
    <row r="432" spans="1:10" s="115" customFormat="1" ht="24" hidden="1" customHeight="1">
      <c r="A432" s="398">
        <v>39</v>
      </c>
      <c r="B432" s="132" t="s">
        <v>2330</v>
      </c>
      <c r="C432" s="439" t="s">
        <v>2331</v>
      </c>
      <c r="D432" s="440" t="s">
        <v>343</v>
      </c>
      <c r="E432" s="398" t="s">
        <v>2332</v>
      </c>
      <c r="F432" s="398" t="s">
        <v>2027</v>
      </c>
      <c r="G432" s="400" t="s">
        <v>336</v>
      </c>
      <c r="H432" s="398" t="s">
        <v>281</v>
      </c>
      <c r="I432" s="401" t="s">
        <v>2642</v>
      </c>
      <c r="J432" s="131" t="str">
        <f t="shared" si="6"/>
        <v>13</v>
      </c>
    </row>
    <row r="433" spans="1:10" s="114" customFormat="1" ht="24" hidden="1" customHeight="1">
      <c r="A433" s="398">
        <v>40</v>
      </c>
      <c r="B433" s="132" t="s">
        <v>2085</v>
      </c>
      <c r="C433" s="439" t="s">
        <v>2086</v>
      </c>
      <c r="D433" s="440" t="s">
        <v>343</v>
      </c>
      <c r="E433" s="398" t="s">
        <v>1331</v>
      </c>
      <c r="F433" s="398" t="s">
        <v>2027</v>
      </c>
      <c r="G433" s="398"/>
      <c r="H433" s="398" t="s">
        <v>281</v>
      </c>
      <c r="I433" s="401"/>
      <c r="J433" s="131" t="str">
        <f t="shared" si="6"/>
        <v>13</v>
      </c>
    </row>
    <row r="434" spans="1:10" s="115" customFormat="1" ht="24" hidden="1" customHeight="1">
      <c r="A434" s="398">
        <v>41</v>
      </c>
      <c r="B434" s="132" t="s">
        <v>2087</v>
      </c>
      <c r="C434" s="439" t="s">
        <v>2088</v>
      </c>
      <c r="D434" s="440" t="s">
        <v>1085</v>
      </c>
      <c r="E434" s="398" t="s">
        <v>2089</v>
      </c>
      <c r="F434" s="398" t="s">
        <v>2027</v>
      </c>
      <c r="G434" s="398"/>
      <c r="H434" s="398" t="s">
        <v>486</v>
      </c>
      <c r="I434" s="401" t="s">
        <v>173</v>
      </c>
      <c r="J434" s="131" t="str">
        <f t="shared" si="6"/>
        <v>13</v>
      </c>
    </row>
    <row r="435" spans="1:10" s="115" customFormat="1" ht="24" hidden="1" customHeight="1">
      <c r="A435" s="398">
        <v>42</v>
      </c>
      <c r="B435" s="132" t="s">
        <v>2090</v>
      </c>
      <c r="C435" s="439" t="s">
        <v>198</v>
      </c>
      <c r="D435" s="440" t="s">
        <v>219</v>
      </c>
      <c r="E435" s="398" t="s">
        <v>1452</v>
      </c>
      <c r="F435" s="398" t="s">
        <v>2027</v>
      </c>
      <c r="G435" s="398"/>
      <c r="H435" s="398" t="s">
        <v>281</v>
      </c>
      <c r="I435" s="401"/>
      <c r="J435" s="131" t="str">
        <f t="shared" si="6"/>
        <v>13</v>
      </c>
    </row>
    <row r="436" spans="1:10" s="115" customFormat="1" ht="24" hidden="1" customHeight="1">
      <c r="A436" s="398">
        <v>43</v>
      </c>
      <c r="B436" s="132" t="s">
        <v>2093</v>
      </c>
      <c r="C436" s="439" t="s">
        <v>2094</v>
      </c>
      <c r="D436" s="440" t="s">
        <v>2095</v>
      </c>
      <c r="E436" s="398" t="s">
        <v>361</v>
      </c>
      <c r="F436" s="398" t="s">
        <v>2027</v>
      </c>
      <c r="G436" s="398"/>
      <c r="H436" s="398" t="s">
        <v>281</v>
      </c>
      <c r="I436" s="401"/>
      <c r="J436" s="131" t="str">
        <f t="shared" si="6"/>
        <v>13</v>
      </c>
    </row>
    <row r="437" spans="1:10" s="114" customFormat="1" ht="24" hidden="1" customHeight="1">
      <c r="A437" s="398">
        <v>44</v>
      </c>
      <c r="B437" s="132" t="s">
        <v>2091</v>
      </c>
      <c r="C437" s="439" t="s">
        <v>2092</v>
      </c>
      <c r="D437" s="440" t="s">
        <v>350</v>
      </c>
      <c r="E437" s="398" t="s">
        <v>476</v>
      </c>
      <c r="F437" s="398" t="s">
        <v>2027</v>
      </c>
      <c r="G437" s="398"/>
      <c r="H437" s="398" t="s">
        <v>281</v>
      </c>
      <c r="I437" s="416"/>
      <c r="J437" s="131" t="str">
        <f t="shared" si="6"/>
        <v>13</v>
      </c>
    </row>
    <row r="438" spans="1:10" s="115" customFormat="1" ht="24" hidden="1" customHeight="1">
      <c r="A438" s="398">
        <v>45</v>
      </c>
      <c r="B438" s="132" t="s">
        <v>2096</v>
      </c>
      <c r="C438" s="439" t="s">
        <v>2097</v>
      </c>
      <c r="D438" s="440" t="s">
        <v>468</v>
      </c>
      <c r="E438" s="398" t="s">
        <v>424</v>
      </c>
      <c r="F438" s="398" t="s">
        <v>2027</v>
      </c>
      <c r="G438" s="398"/>
      <c r="H438" s="398" t="s">
        <v>281</v>
      </c>
      <c r="I438" s="401" t="s">
        <v>175</v>
      </c>
      <c r="J438" s="131" t="str">
        <f t="shared" si="6"/>
        <v>13</v>
      </c>
    </row>
    <row r="439" spans="1:10" s="114" customFormat="1" ht="24" hidden="1" customHeight="1">
      <c r="A439" s="398">
        <v>46</v>
      </c>
      <c r="B439" s="132" t="s">
        <v>2098</v>
      </c>
      <c r="C439" s="439" t="s">
        <v>1020</v>
      </c>
      <c r="D439" s="440" t="s">
        <v>391</v>
      </c>
      <c r="E439" s="398" t="s">
        <v>2099</v>
      </c>
      <c r="F439" s="398" t="s">
        <v>2027</v>
      </c>
      <c r="G439" s="398"/>
      <c r="H439" s="398" t="s">
        <v>281</v>
      </c>
      <c r="I439" s="401"/>
      <c r="J439" s="131" t="str">
        <f t="shared" si="6"/>
        <v>13</v>
      </c>
    </row>
    <row r="440" spans="1:10" s="115" customFormat="1" ht="24" hidden="1" customHeight="1">
      <c r="A440" s="398">
        <v>47</v>
      </c>
      <c r="B440" s="132" t="s">
        <v>2100</v>
      </c>
      <c r="C440" s="439" t="s">
        <v>1523</v>
      </c>
      <c r="D440" s="440" t="s">
        <v>1086</v>
      </c>
      <c r="E440" s="398" t="s">
        <v>2101</v>
      </c>
      <c r="F440" s="398" t="s">
        <v>2027</v>
      </c>
      <c r="G440" s="398"/>
      <c r="H440" s="398" t="s">
        <v>281</v>
      </c>
      <c r="I440" s="401"/>
      <c r="J440" s="131" t="str">
        <f t="shared" si="6"/>
        <v>13</v>
      </c>
    </row>
    <row r="441" spans="1:10" s="114" customFormat="1" ht="24" hidden="1" customHeight="1">
      <c r="A441" s="398">
        <v>48</v>
      </c>
      <c r="B441" s="132" t="s">
        <v>2102</v>
      </c>
      <c r="C441" s="439" t="s">
        <v>445</v>
      </c>
      <c r="D441" s="440" t="s">
        <v>2103</v>
      </c>
      <c r="E441" s="398" t="s">
        <v>428</v>
      </c>
      <c r="F441" s="398" t="s">
        <v>2027</v>
      </c>
      <c r="G441" s="400" t="s">
        <v>360</v>
      </c>
      <c r="H441" s="398" t="s">
        <v>281</v>
      </c>
      <c r="I441" s="401"/>
      <c r="J441" s="131" t="str">
        <f t="shared" si="6"/>
        <v>13</v>
      </c>
    </row>
    <row r="442" spans="1:10" s="114" customFormat="1" ht="24" hidden="1" customHeight="1">
      <c r="A442" s="398">
        <v>49</v>
      </c>
      <c r="B442" s="132" t="s">
        <v>2104</v>
      </c>
      <c r="C442" s="439" t="s">
        <v>1679</v>
      </c>
      <c r="D442" s="440" t="s">
        <v>230</v>
      </c>
      <c r="E442" s="398" t="s">
        <v>1087</v>
      </c>
      <c r="F442" s="398" t="s">
        <v>2027</v>
      </c>
      <c r="G442" s="398"/>
      <c r="H442" s="398" t="s">
        <v>281</v>
      </c>
      <c r="I442" s="419"/>
      <c r="J442" s="131" t="str">
        <f t="shared" si="6"/>
        <v>13</v>
      </c>
    </row>
    <row r="443" spans="1:10" s="115" customFormat="1" ht="24" hidden="1" customHeight="1">
      <c r="A443" s="398">
        <v>50</v>
      </c>
      <c r="B443" s="132" t="s">
        <v>2105</v>
      </c>
      <c r="C443" s="439" t="s">
        <v>2106</v>
      </c>
      <c r="D443" s="440" t="s">
        <v>394</v>
      </c>
      <c r="E443" s="398" t="s">
        <v>2107</v>
      </c>
      <c r="F443" s="398" t="s">
        <v>2027</v>
      </c>
      <c r="G443" s="398"/>
      <c r="H443" s="398" t="s">
        <v>281</v>
      </c>
      <c r="I443" s="401"/>
      <c r="J443" s="131" t="str">
        <f t="shared" si="6"/>
        <v>13</v>
      </c>
    </row>
    <row r="444" spans="1:10" s="115" customFormat="1" ht="24" hidden="1" customHeight="1">
      <c r="A444" s="398">
        <v>51</v>
      </c>
      <c r="B444" s="132" t="s">
        <v>2108</v>
      </c>
      <c r="C444" s="439" t="s">
        <v>452</v>
      </c>
      <c r="D444" s="440" t="s">
        <v>231</v>
      </c>
      <c r="E444" s="398" t="s">
        <v>2109</v>
      </c>
      <c r="F444" s="398" t="s">
        <v>2027</v>
      </c>
      <c r="G444" s="398"/>
      <c r="H444" s="398" t="s">
        <v>486</v>
      </c>
      <c r="I444" s="401"/>
      <c r="J444" s="131" t="str">
        <f t="shared" si="6"/>
        <v>13</v>
      </c>
    </row>
    <row r="445" spans="1:10" s="114" customFormat="1" ht="24" hidden="1" customHeight="1">
      <c r="A445" s="398">
        <v>52</v>
      </c>
      <c r="B445" s="132" t="s">
        <v>2110</v>
      </c>
      <c r="C445" s="439" t="s">
        <v>1756</v>
      </c>
      <c r="D445" s="440" t="s">
        <v>420</v>
      </c>
      <c r="E445" s="398" t="s">
        <v>2111</v>
      </c>
      <c r="F445" s="398" t="s">
        <v>2027</v>
      </c>
      <c r="G445" s="400"/>
      <c r="H445" s="398" t="s">
        <v>281</v>
      </c>
      <c r="I445" s="401"/>
      <c r="J445" s="131" t="str">
        <f t="shared" si="6"/>
        <v>13</v>
      </c>
    </row>
    <row r="446" spans="1:10" s="115" customFormat="1" ht="24" hidden="1" customHeight="1">
      <c r="A446" s="398">
        <v>53</v>
      </c>
      <c r="B446" s="132" t="s">
        <v>2112</v>
      </c>
      <c r="C446" s="439" t="s">
        <v>1088</v>
      </c>
      <c r="D446" s="440" t="s">
        <v>359</v>
      </c>
      <c r="E446" s="398" t="s">
        <v>1066</v>
      </c>
      <c r="F446" s="398" t="s">
        <v>2027</v>
      </c>
      <c r="G446" s="398"/>
      <c r="H446" s="398" t="s">
        <v>281</v>
      </c>
      <c r="I446" s="401"/>
      <c r="J446" s="131" t="str">
        <f t="shared" si="6"/>
        <v>13</v>
      </c>
    </row>
    <row r="447" spans="1:10" s="115" customFormat="1" ht="24" hidden="1" customHeight="1">
      <c r="A447" s="398">
        <v>54</v>
      </c>
      <c r="B447" s="132" t="s">
        <v>2113</v>
      </c>
      <c r="C447" s="439" t="s">
        <v>2114</v>
      </c>
      <c r="D447" s="440" t="s">
        <v>235</v>
      </c>
      <c r="E447" s="398" t="s">
        <v>980</v>
      </c>
      <c r="F447" s="398" t="s">
        <v>2027</v>
      </c>
      <c r="G447" s="398"/>
      <c r="H447" s="398" t="s">
        <v>486</v>
      </c>
      <c r="I447" s="401"/>
      <c r="J447" s="131" t="str">
        <f t="shared" si="6"/>
        <v>13</v>
      </c>
    </row>
    <row r="448" spans="1:10" s="115" customFormat="1" ht="24" hidden="1" customHeight="1">
      <c r="A448" s="398">
        <v>55</v>
      </c>
      <c r="B448" s="132" t="s">
        <v>2115</v>
      </c>
      <c r="C448" s="439" t="s">
        <v>1032</v>
      </c>
      <c r="D448" s="440" t="s">
        <v>236</v>
      </c>
      <c r="E448" s="398" t="s">
        <v>1796</v>
      </c>
      <c r="F448" s="398" t="s">
        <v>2027</v>
      </c>
      <c r="G448" s="398"/>
      <c r="H448" s="398" t="s">
        <v>281</v>
      </c>
      <c r="I448" s="401" t="s">
        <v>2116</v>
      </c>
      <c r="J448" s="131" t="str">
        <f t="shared" si="6"/>
        <v>13</v>
      </c>
    </row>
    <row r="449" spans="1:10" s="114" customFormat="1" ht="24" hidden="1" customHeight="1">
      <c r="A449" s="398">
        <v>56</v>
      </c>
      <c r="B449" s="132" t="s">
        <v>2117</v>
      </c>
      <c r="C449" s="439" t="s">
        <v>209</v>
      </c>
      <c r="D449" s="440" t="s">
        <v>1794</v>
      </c>
      <c r="E449" s="398" t="s">
        <v>1089</v>
      </c>
      <c r="F449" s="398" t="s">
        <v>2027</v>
      </c>
      <c r="G449" s="398"/>
      <c r="H449" s="398" t="s">
        <v>281</v>
      </c>
      <c r="I449" s="401"/>
      <c r="J449" s="131" t="str">
        <f t="shared" si="6"/>
        <v>13</v>
      </c>
    </row>
    <row r="450" spans="1:10" s="115" customFormat="1" ht="24" hidden="1" customHeight="1" thickBot="1">
      <c r="A450" s="406">
        <v>57</v>
      </c>
      <c r="B450" s="132" t="s">
        <v>2118</v>
      </c>
      <c r="C450" s="441" t="s">
        <v>2119</v>
      </c>
      <c r="D450" s="442" t="s">
        <v>473</v>
      </c>
      <c r="E450" s="406" t="s">
        <v>2120</v>
      </c>
      <c r="F450" s="406" t="s">
        <v>2027</v>
      </c>
      <c r="G450" s="406"/>
      <c r="H450" s="406" t="s">
        <v>281</v>
      </c>
      <c r="I450" s="417"/>
      <c r="J450" s="131" t="str">
        <f t="shared" si="6"/>
        <v>13</v>
      </c>
    </row>
    <row r="451" spans="1:10" s="115" customFormat="1" ht="24" hidden="1" customHeight="1">
      <c r="A451" s="408">
        <v>1</v>
      </c>
      <c r="B451" s="132" t="s">
        <v>2121</v>
      </c>
      <c r="C451" s="443" t="s">
        <v>2122</v>
      </c>
      <c r="D451" s="444" t="s">
        <v>1090</v>
      </c>
      <c r="E451" s="408" t="s">
        <v>1091</v>
      </c>
      <c r="F451" s="409" t="s">
        <v>2123</v>
      </c>
      <c r="G451" s="422" t="s">
        <v>360</v>
      </c>
      <c r="H451" s="408" t="s">
        <v>486</v>
      </c>
      <c r="I451" s="410"/>
      <c r="J451" s="131" t="str">
        <f t="shared" ref="J451:J514" si="7">LEFT(F451,2)</f>
        <v>13</v>
      </c>
    </row>
    <row r="452" spans="1:10" s="115" customFormat="1" ht="24" hidden="1" customHeight="1">
      <c r="A452" s="398">
        <v>2</v>
      </c>
      <c r="B452" s="132" t="s">
        <v>2124</v>
      </c>
      <c r="C452" s="439" t="s">
        <v>2125</v>
      </c>
      <c r="D452" s="440" t="s">
        <v>1092</v>
      </c>
      <c r="E452" s="398" t="s">
        <v>2126</v>
      </c>
      <c r="F452" s="398" t="s">
        <v>2123</v>
      </c>
      <c r="G452" s="398"/>
      <c r="H452" s="398" t="s">
        <v>281</v>
      </c>
      <c r="I452" s="401" t="s">
        <v>174</v>
      </c>
      <c r="J452" s="131" t="str">
        <f t="shared" si="7"/>
        <v>13</v>
      </c>
    </row>
    <row r="453" spans="1:10" s="114" customFormat="1" ht="24" hidden="1" customHeight="1">
      <c r="A453" s="398">
        <v>3</v>
      </c>
      <c r="B453" s="132" t="s">
        <v>2127</v>
      </c>
      <c r="C453" s="439" t="s">
        <v>445</v>
      </c>
      <c r="D453" s="440" t="s">
        <v>1093</v>
      </c>
      <c r="E453" s="398" t="s">
        <v>2128</v>
      </c>
      <c r="F453" s="398" t="s">
        <v>2123</v>
      </c>
      <c r="G453" s="398"/>
      <c r="H453" s="398" t="s">
        <v>281</v>
      </c>
      <c r="I453" s="401"/>
      <c r="J453" s="131" t="str">
        <f t="shared" si="7"/>
        <v>13</v>
      </c>
    </row>
    <row r="454" spans="1:10" s="115" customFormat="1" ht="24" hidden="1" customHeight="1">
      <c r="A454" s="398">
        <v>4</v>
      </c>
      <c r="B454" s="132" t="s">
        <v>2129</v>
      </c>
      <c r="C454" s="439" t="s">
        <v>2130</v>
      </c>
      <c r="D454" s="440" t="s">
        <v>1889</v>
      </c>
      <c r="E454" s="398" t="s">
        <v>453</v>
      </c>
      <c r="F454" s="398" t="s">
        <v>2123</v>
      </c>
      <c r="G454" s="398"/>
      <c r="H454" s="398" t="s">
        <v>281</v>
      </c>
      <c r="I454" s="401"/>
      <c r="J454" s="131" t="str">
        <f t="shared" si="7"/>
        <v>13</v>
      </c>
    </row>
    <row r="455" spans="1:10" s="115" customFormat="1" ht="24" hidden="1" customHeight="1">
      <c r="A455" s="398">
        <v>5</v>
      </c>
      <c r="B455" s="132" t="s">
        <v>2131</v>
      </c>
      <c r="C455" s="439" t="s">
        <v>1128</v>
      </c>
      <c r="D455" s="440" t="s">
        <v>435</v>
      </c>
      <c r="E455" s="398" t="s">
        <v>2132</v>
      </c>
      <c r="F455" s="398" t="s">
        <v>2123</v>
      </c>
      <c r="G455" s="398"/>
      <c r="H455" s="398" t="s">
        <v>281</v>
      </c>
      <c r="I455" s="401" t="s">
        <v>2004</v>
      </c>
      <c r="J455" s="131" t="str">
        <f t="shared" si="7"/>
        <v>13</v>
      </c>
    </row>
    <row r="456" spans="1:10" s="115" customFormat="1" ht="24" hidden="1" customHeight="1">
      <c r="A456" s="398">
        <v>6</v>
      </c>
      <c r="B456" s="132" t="s">
        <v>2133</v>
      </c>
      <c r="C456" s="439" t="s">
        <v>386</v>
      </c>
      <c r="D456" s="440" t="s">
        <v>436</v>
      </c>
      <c r="E456" s="398" t="s">
        <v>1475</v>
      </c>
      <c r="F456" s="398" t="s">
        <v>2123</v>
      </c>
      <c r="G456" s="398"/>
      <c r="H456" s="398" t="s">
        <v>281</v>
      </c>
      <c r="I456" s="401"/>
      <c r="J456" s="131" t="str">
        <f t="shared" si="7"/>
        <v>13</v>
      </c>
    </row>
    <row r="457" spans="1:10" s="114" customFormat="1" ht="24" hidden="1" customHeight="1">
      <c r="A457" s="398">
        <v>7</v>
      </c>
      <c r="B457" s="132" t="s">
        <v>2134</v>
      </c>
      <c r="C457" s="439" t="s">
        <v>2135</v>
      </c>
      <c r="D457" s="440" t="s">
        <v>366</v>
      </c>
      <c r="E457" s="398" t="s">
        <v>1129</v>
      </c>
      <c r="F457" s="398" t="s">
        <v>2123</v>
      </c>
      <c r="G457" s="398"/>
      <c r="H457" s="398" t="s">
        <v>281</v>
      </c>
      <c r="I457" s="401" t="s">
        <v>2004</v>
      </c>
      <c r="J457" s="131" t="str">
        <f t="shared" si="7"/>
        <v>13</v>
      </c>
    </row>
    <row r="458" spans="1:10" s="115" customFormat="1" ht="24" hidden="1" customHeight="1">
      <c r="A458" s="398">
        <v>8</v>
      </c>
      <c r="B458" s="132" t="s">
        <v>2136</v>
      </c>
      <c r="C458" s="439" t="s">
        <v>474</v>
      </c>
      <c r="D458" s="440" t="s">
        <v>366</v>
      </c>
      <c r="E458" s="398" t="s">
        <v>1667</v>
      </c>
      <c r="F458" s="398" t="s">
        <v>2123</v>
      </c>
      <c r="G458" s="398"/>
      <c r="H458" s="398" t="s">
        <v>281</v>
      </c>
      <c r="I458" s="401"/>
      <c r="J458" s="131" t="str">
        <f t="shared" si="7"/>
        <v>13</v>
      </c>
    </row>
    <row r="459" spans="1:10" s="114" customFormat="1" ht="24" hidden="1" customHeight="1">
      <c r="A459" s="398">
        <v>9</v>
      </c>
      <c r="B459" s="132" t="s">
        <v>2137</v>
      </c>
      <c r="C459" s="439" t="s">
        <v>2138</v>
      </c>
      <c r="D459" s="440" t="s">
        <v>1049</v>
      </c>
      <c r="E459" s="398" t="s">
        <v>2076</v>
      </c>
      <c r="F459" s="398" t="s">
        <v>2123</v>
      </c>
      <c r="G459" s="398"/>
      <c r="H459" s="398" t="s">
        <v>281</v>
      </c>
      <c r="I459" s="401" t="s">
        <v>2004</v>
      </c>
      <c r="J459" s="131" t="str">
        <f t="shared" si="7"/>
        <v>13</v>
      </c>
    </row>
    <row r="460" spans="1:10" s="114" customFormat="1" ht="24" hidden="1" customHeight="1">
      <c r="A460" s="398">
        <v>10</v>
      </c>
      <c r="B460" s="132" t="s">
        <v>2139</v>
      </c>
      <c r="C460" s="439" t="s">
        <v>2140</v>
      </c>
      <c r="D460" s="440" t="s">
        <v>1023</v>
      </c>
      <c r="E460" s="398" t="s">
        <v>1130</v>
      </c>
      <c r="F460" s="398" t="s">
        <v>2123</v>
      </c>
      <c r="G460" s="398"/>
      <c r="H460" s="398" t="s">
        <v>486</v>
      </c>
      <c r="I460" s="401" t="s">
        <v>2004</v>
      </c>
      <c r="J460" s="131" t="str">
        <f t="shared" si="7"/>
        <v>13</v>
      </c>
    </row>
    <row r="461" spans="1:10" s="114" customFormat="1" ht="24" hidden="1" customHeight="1">
      <c r="A461" s="398">
        <v>11</v>
      </c>
      <c r="B461" s="132" t="s">
        <v>2141</v>
      </c>
      <c r="C461" s="439" t="s">
        <v>282</v>
      </c>
      <c r="D461" s="440" t="s">
        <v>1094</v>
      </c>
      <c r="E461" s="398" t="s">
        <v>1014</v>
      </c>
      <c r="F461" s="398" t="s">
        <v>2123</v>
      </c>
      <c r="G461" s="398"/>
      <c r="H461" s="398" t="s">
        <v>281</v>
      </c>
      <c r="I461" s="401"/>
      <c r="J461" s="131" t="str">
        <f t="shared" si="7"/>
        <v>13</v>
      </c>
    </row>
    <row r="462" spans="1:10" s="114" customFormat="1" ht="24" hidden="1" customHeight="1">
      <c r="A462" s="398">
        <v>12</v>
      </c>
      <c r="B462" s="132" t="s">
        <v>2142</v>
      </c>
      <c r="C462" s="439" t="s">
        <v>201</v>
      </c>
      <c r="D462" s="440" t="s">
        <v>404</v>
      </c>
      <c r="E462" s="398" t="s">
        <v>2143</v>
      </c>
      <c r="F462" s="398" t="s">
        <v>2123</v>
      </c>
      <c r="G462" s="398"/>
      <c r="H462" s="398" t="s">
        <v>281</v>
      </c>
      <c r="I462" s="401" t="s">
        <v>2004</v>
      </c>
      <c r="J462" s="131" t="str">
        <f t="shared" si="7"/>
        <v>13</v>
      </c>
    </row>
    <row r="463" spans="1:10" s="114" customFormat="1" ht="24" hidden="1" customHeight="1">
      <c r="A463" s="398">
        <v>13</v>
      </c>
      <c r="B463" s="132" t="s">
        <v>2144</v>
      </c>
      <c r="C463" s="439" t="s">
        <v>2145</v>
      </c>
      <c r="D463" s="440" t="s">
        <v>406</v>
      </c>
      <c r="E463" s="398" t="s">
        <v>440</v>
      </c>
      <c r="F463" s="398" t="s">
        <v>2123</v>
      </c>
      <c r="G463" s="398"/>
      <c r="H463" s="398" t="s">
        <v>281</v>
      </c>
      <c r="I463" s="401"/>
      <c r="J463" s="131" t="str">
        <f t="shared" si="7"/>
        <v>13</v>
      </c>
    </row>
    <row r="464" spans="1:10" s="114" customFormat="1" ht="24" hidden="1" customHeight="1">
      <c r="A464" s="398">
        <v>14</v>
      </c>
      <c r="B464" s="132" t="s">
        <v>2146</v>
      </c>
      <c r="C464" s="439" t="s">
        <v>2147</v>
      </c>
      <c r="D464" s="440" t="s">
        <v>441</v>
      </c>
      <c r="E464" s="398" t="s">
        <v>2148</v>
      </c>
      <c r="F464" s="398" t="s">
        <v>2123</v>
      </c>
      <c r="G464" s="398"/>
      <c r="H464" s="398" t="s">
        <v>281</v>
      </c>
      <c r="I464" s="401" t="s">
        <v>2004</v>
      </c>
      <c r="J464" s="131" t="str">
        <f t="shared" si="7"/>
        <v>13</v>
      </c>
    </row>
    <row r="465" spans="1:10" s="114" customFormat="1" ht="24" hidden="1" customHeight="1">
      <c r="A465" s="398">
        <v>15</v>
      </c>
      <c r="B465" s="132" t="s">
        <v>2149</v>
      </c>
      <c r="C465" s="439" t="s">
        <v>2150</v>
      </c>
      <c r="D465" s="440" t="s">
        <v>1358</v>
      </c>
      <c r="E465" s="398" t="s">
        <v>1572</v>
      </c>
      <c r="F465" s="398" t="s">
        <v>2123</v>
      </c>
      <c r="G465" s="400" t="s">
        <v>330</v>
      </c>
      <c r="H465" s="398" t="s">
        <v>281</v>
      </c>
      <c r="I465" s="401" t="s">
        <v>2004</v>
      </c>
      <c r="J465" s="131" t="str">
        <f t="shared" si="7"/>
        <v>13</v>
      </c>
    </row>
    <row r="466" spans="1:10" s="114" customFormat="1" ht="24" hidden="1" customHeight="1">
      <c r="A466" s="398">
        <v>16</v>
      </c>
      <c r="B466" s="132" t="s">
        <v>2151</v>
      </c>
      <c r="C466" s="439" t="s">
        <v>2152</v>
      </c>
      <c r="D466" s="440" t="s">
        <v>1095</v>
      </c>
      <c r="E466" s="398" t="s">
        <v>1498</v>
      </c>
      <c r="F466" s="398" t="s">
        <v>2123</v>
      </c>
      <c r="G466" s="398"/>
      <c r="H466" s="398" t="s">
        <v>281</v>
      </c>
      <c r="I466" s="401"/>
      <c r="J466" s="131" t="str">
        <f t="shared" si="7"/>
        <v>13</v>
      </c>
    </row>
    <row r="467" spans="1:10" s="114" customFormat="1" ht="24" hidden="1" customHeight="1">
      <c r="A467" s="398">
        <v>17</v>
      </c>
      <c r="B467" s="132" t="s">
        <v>2153</v>
      </c>
      <c r="C467" s="439" t="s">
        <v>2154</v>
      </c>
      <c r="D467" s="440" t="s">
        <v>295</v>
      </c>
      <c r="E467" s="398" t="s">
        <v>2155</v>
      </c>
      <c r="F467" s="398" t="s">
        <v>2123</v>
      </c>
      <c r="G467" s="400"/>
      <c r="H467" s="398" t="s">
        <v>281</v>
      </c>
      <c r="I467" s="401"/>
      <c r="J467" s="131" t="str">
        <f t="shared" si="7"/>
        <v>13</v>
      </c>
    </row>
    <row r="468" spans="1:10" s="114" customFormat="1" ht="24" hidden="1" customHeight="1">
      <c r="A468" s="398">
        <v>18</v>
      </c>
      <c r="B468" s="132" t="s">
        <v>2157</v>
      </c>
      <c r="C468" s="439" t="s">
        <v>2158</v>
      </c>
      <c r="D468" s="440" t="s">
        <v>2062</v>
      </c>
      <c r="E468" s="398" t="s">
        <v>2159</v>
      </c>
      <c r="F468" s="398" t="s">
        <v>2123</v>
      </c>
      <c r="G468" s="398"/>
      <c r="H468" s="398" t="s">
        <v>281</v>
      </c>
      <c r="I468" s="401"/>
      <c r="J468" s="131" t="str">
        <f t="shared" si="7"/>
        <v>13</v>
      </c>
    </row>
    <row r="469" spans="1:10" s="114" customFormat="1" ht="24" hidden="1" customHeight="1">
      <c r="A469" s="398">
        <v>19</v>
      </c>
      <c r="B469" s="132" t="s">
        <v>2160</v>
      </c>
      <c r="C469" s="439" t="s">
        <v>443</v>
      </c>
      <c r="D469" s="440" t="s">
        <v>328</v>
      </c>
      <c r="E469" s="398" t="s">
        <v>1746</v>
      </c>
      <c r="F469" s="398" t="s">
        <v>2123</v>
      </c>
      <c r="G469" s="398"/>
      <c r="H469" s="398" t="s">
        <v>281</v>
      </c>
      <c r="I469" s="401"/>
      <c r="J469" s="131" t="str">
        <f t="shared" si="7"/>
        <v>13</v>
      </c>
    </row>
    <row r="470" spans="1:10" s="114" customFormat="1" ht="24" hidden="1" customHeight="1">
      <c r="A470" s="398">
        <v>20</v>
      </c>
      <c r="B470" s="132" t="s">
        <v>2161</v>
      </c>
      <c r="C470" s="439" t="s">
        <v>201</v>
      </c>
      <c r="D470" s="440" t="s">
        <v>1513</v>
      </c>
      <c r="E470" s="398" t="s">
        <v>1033</v>
      </c>
      <c r="F470" s="398" t="s">
        <v>2123</v>
      </c>
      <c r="G470" s="398"/>
      <c r="H470" s="398" t="s">
        <v>281</v>
      </c>
      <c r="I470" s="401"/>
      <c r="J470" s="131" t="str">
        <f t="shared" si="7"/>
        <v>13</v>
      </c>
    </row>
    <row r="471" spans="1:10" s="114" customFormat="1" ht="24" hidden="1" customHeight="1">
      <c r="A471" s="398">
        <v>21</v>
      </c>
      <c r="B471" s="132" t="s">
        <v>2162</v>
      </c>
      <c r="C471" s="439" t="s">
        <v>2163</v>
      </c>
      <c r="D471" s="440" t="s">
        <v>333</v>
      </c>
      <c r="E471" s="398" t="s">
        <v>2164</v>
      </c>
      <c r="F471" s="398" t="s">
        <v>2123</v>
      </c>
      <c r="G471" s="398"/>
      <c r="H471" s="398" t="s">
        <v>486</v>
      </c>
      <c r="I471" s="401"/>
      <c r="J471" s="131" t="str">
        <f t="shared" si="7"/>
        <v>13</v>
      </c>
    </row>
    <row r="472" spans="1:10" s="115" customFormat="1" ht="24" hidden="1" customHeight="1">
      <c r="A472" s="398">
        <v>22</v>
      </c>
      <c r="B472" s="132" t="s">
        <v>2165</v>
      </c>
      <c r="C472" s="439" t="s">
        <v>2166</v>
      </c>
      <c r="D472" s="440" t="s">
        <v>334</v>
      </c>
      <c r="E472" s="398" t="s">
        <v>1731</v>
      </c>
      <c r="F472" s="398" t="s">
        <v>2123</v>
      </c>
      <c r="G472" s="398"/>
      <c r="H472" s="398" t="s">
        <v>281</v>
      </c>
      <c r="I472" s="401"/>
      <c r="J472" s="131" t="str">
        <f t="shared" si="7"/>
        <v>13</v>
      </c>
    </row>
    <row r="473" spans="1:10" s="114" customFormat="1" ht="24" hidden="1" customHeight="1">
      <c r="A473" s="398">
        <v>23</v>
      </c>
      <c r="B473" s="132" t="s">
        <v>2167</v>
      </c>
      <c r="C473" s="439" t="s">
        <v>232</v>
      </c>
      <c r="D473" s="440" t="s">
        <v>377</v>
      </c>
      <c r="E473" s="398" t="s">
        <v>2168</v>
      </c>
      <c r="F473" s="398" t="s">
        <v>2123</v>
      </c>
      <c r="G473" s="398"/>
      <c r="H473" s="398" t="s">
        <v>281</v>
      </c>
      <c r="I473" s="401"/>
      <c r="J473" s="131" t="str">
        <f t="shared" si="7"/>
        <v>13</v>
      </c>
    </row>
    <row r="474" spans="1:10" s="115" customFormat="1" ht="24" hidden="1" customHeight="1">
      <c r="A474" s="398">
        <v>24</v>
      </c>
      <c r="B474" s="132" t="s">
        <v>2169</v>
      </c>
      <c r="C474" s="439" t="s">
        <v>2170</v>
      </c>
      <c r="D474" s="440" t="s">
        <v>340</v>
      </c>
      <c r="E474" s="398" t="s">
        <v>2043</v>
      </c>
      <c r="F474" s="398" t="s">
        <v>2123</v>
      </c>
      <c r="G474" s="398"/>
      <c r="H474" s="398" t="s">
        <v>281</v>
      </c>
      <c r="I474" s="401"/>
      <c r="J474" s="131" t="str">
        <f t="shared" si="7"/>
        <v>13</v>
      </c>
    </row>
    <row r="475" spans="1:10" s="115" customFormat="1" ht="24" hidden="1" customHeight="1">
      <c r="A475" s="398">
        <v>25</v>
      </c>
      <c r="B475" s="132" t="s">
        <v>2171</v>
      </c>
      <c r="C475" s="439" t="s">
        <v>431</v>
      </c>
      <c r="D475" s="440" t="s">
        <v>215</v>
      </c>
      <c r="E475" s="398" t="s">
        <v>1371</v>
      </c>
      <c r="F475" s="398" t="s">
        <v>2123</v>
      </c>
      <c r="G475" s="398"/>
      <c r="H475" s="398" t="s">
        <v>281</v>
      </c>
      <c r="I475" s="401"/>
      <c r="J475" s="131" t="str">
        <f t="shared" si="7"/>
        <v>13</v>
      </c>
    </row>
    <row r="476" spans="1:10" s="114" customFormat="1" ht="24" hidden="1" customHeight="1">
      <c r="A476" s="398">
        <v>26</v>
      </c>
      <c r="B476" s="132" t="s">
        <v>2172</v>
      </c>
      <c r="C476" s="439" t="s">
        <v>452</v>
      </c>
      <c r="D476" s="440" t="s">
        <v>217</v>
      </c>
      <c r="E476" s="398" t="s">
        <v>2143</v>
      </c>
      <c r="F476" s="398" t="s">
        <v>2123</v>
      </c>
      <c r="G476" s="400"/>
      <c r="H476" s="398" t="s">
        <v>281</v>
      </c>
      <c r="I476" s="401"/>
      <c r="J476" s="131" t="str">
        <f t="shared" si="7"/>
        <v>13</v>
      </c>
    </row>
    <row r="477" spans="1:10" s="115" customFormat="1" ht="24" hidden="1" customHeight="1">
      <c r="A477" s="398">
        <v>27</v>
      </c>
      <c r="B477" s="132" t="s">
        <v>2333</v>
      </c>
      <c r="C477" s="439" t="s">
        <v>2334</v>
      </c>
      <c r="D477" s="440" t="s">
        <v>1047</v>
      </c>
      <c r="E477" s="398" t="s">
        <v>1124</v>
      </c>
      <c r="F477" s="398" t="s">
        <v>2123</v>
      </c>
      <c r="G477" s="398"/>
      <c r="H477" s="398" t="s">
        <v>281</v>
      </c>
      <c r="I477" s="401" t="s">
        <v>2642</v>
      </c>
      <c r="J477" s="131" t="str">
        <f t="shared" si="7"/>
        <v>13</v>
      </c>
    </row>
    <row r="478" spans="1:10" s="115" customFormat="1" ht="24" hidden="1" customHeight="1">
      <c r="A478" s="398">
        <v>28</v>
      </c>
      <c r="B478" s="132" t="s">
        <v>2335</v>
      </c>
      <c r="C478" s="439" t="s">
        <v>1125</v>
      </c>
      <c r="D478" s="440" t="s">
        <v>1047</v>
      </c>
      <c r="E478" s="398" t="s">
        <v>1292</v>
      </c>
      <c r="F478" s="398" t="s">
        <v>2123</v>
      </c>
      <c r="G478" s="398"/>
      <c r="H478" s="398" t="s">
        <v>281</v>
      </c>
      <c r="I478" s="401" t="s">
        <v>2642</v>
      </c>
      <c r="J478" s="131" t="str">
        <f t="shared" si="7"/>
        <v>13</v>
      </c>
    </row>
    <row r="479" spans="1:10" s="115" customFormat="1" ht="24" hidden="1" customHeight="1">
      <c r="A479" s="398">
        <v>29</v>
      </c>
      <c r="B479" s="132" t="s">
        <v>2173</v>
      </c>
      <c r="C479" s="439" t="s">
        <v>1096</v>
      </c>
      <c r="D479" s="440" t="s">
        <v>1097</v>
      </c>
      <c r="E479" s="398" t="s">
        <v>476</v>
      </c>
      <c r="F479" s="398" t="s">
        <v>2123</v>
      </c>
      <c r="G479" s="398"/>
      <c r="H479" s="398" t="s">
        <v>281</v>
      </c>
      <c r="I479" s="401"/>
      <c r="J479" s="131" t="str">
        <f t="shared" si="7"/>
        <v>13</v>
      </c>
    </row>
    <row r="480" spans="1:10" s="115" customFormat="1" ht="24" hidden="1" customHeight="1">
      <c r="A480" s="398">
        <v>30</v>
      </c>
      <c r="B480" s="132" t="s">
        <v>2336</v>
      </c>
      <c r="C480" s="439" t="s">
        <v>282</v>
      </c>
      <c r="D480" s="440" t="s">
        <v>383</v>
      </c>
      <c r="E480" s="398" t="s">
        <v>1285</v>
      </c>
      <c r="F480" s="398" t="s">
        <v>2123</v>
      </c>
      <c r="G480" s="398"/>
      <c r="H480" s="398" t="s">
        <v>486</v>
      </c>
      <c r="I480" s="401" t="s">
        <v>2642</v>
      </c>
      <c r="J480" s="131" t="str">
        <f t="shared" si="7"/>
        <v>13</v>
      </c>
    </row>
    <row r="481" spans="1:10" s="114" customFormat="1" ht="24" hidden="1" customHeight="1">
      <c r="A481" s="398">
        <v>31</v>
      </c>
      <c r="B481" s="403" t="s">
        <v>2652</v>
      </c>
      <c r="C481" s="439" t="s">
        <v>2653</v>
      </c>
      <c r="D481" s="440" t="s">
        <v>383</v>
      </c>
      <c r="E481" s="398" t="s">
        <v>2224</v>
      </c>
      <c r="F481" s="398" t="s">
        <v>2123</v>
      </c>
      <c r="G481" s="400" t="s">
        <v>325</v>
      </c>
      <c r="H481" s="398" t="s">
        <v>281</v>
      </c>
      <c r="I481" s="404" t="s">
        <v>2654</v>
      </c>
      <c r="J481" s="131" t="str">
        <f t="shared" si="7"/>
        <v>13</v>
      </c>
    </row>
    <row r="482" spans="1:10" s="114" customFormat="1" ht="24" hidden="1" customHeight="1">
      <c r="A482" s="398">
        <v>32</v>
      </c>
      <c r="B482" s="132" t="s">
        <v>2174</v>
      </c>
      <c r="C482" s="439" t="s">
        <v>2175</v>
      </c>
      <c r="D482" s="440" t="s">
        <v>218</v>
      </c>
      <c r="E482" s="398" t="s">
        <v>378</v>
      </c>
      <c r="F482" s="398" t="s">
        <v>2123</v>
      </c>
      <c r="G482" s="398"/>
      <c r="H482" s="398" t="s">
        <v>281</v>
      </c>
      <c r="I482" s="401"/>
      <c r="J482" s="131" t="str">
        <f t="shared" si="7"/>
        <v>13</v>
      </c>
    </row>
    <row r="483" spans="1:10" s="115" customFormat="1" ht="24" hidden="1" customHeight="1">
      <c r="A483" s="398">
        <v>33</v>
      </c>
      <c r="B483" s="132" t="s">
        <v>2176</v>
      </c>
      <c r="C483" s="439" t="s">
        <v>2177</v>
      </c>
      <c r="D483" s="440" t="s">
        <v>2178</v>
      </c>
      <c r="E483" s="398" t="s">
        <v>2179</v>
      </c>
      <c r="F483" s="398" t="s">
        <v>2123</v>
      </c>
      <c r="G483" s="400" t="s">
        <v>336</v>
      </c>
      <c r="H483" s="398" t="s">
        <v>281</v>
      </c>
      <c r="I483" s="401"/>
      <c r="J483" s="131" t="str">
        <f t="shared" si="7"/>
        <v>13</v>
      </c>
    </row>
    <row r="484" spans="1:10" s="115" customFormat="1" ht="24" hidden="1" customHeight="1">
      <c r="A484" s="398">
        <v>34</v>
      </c>
      <c r="B484" s="132" t="s">
        <v>2337</v>
      </c>
      <c r="C484" s="439" t="s">
        <v>1209</v>
      </c>
      <c r="D484" s="440" t="s">
        <v>347</v>
      </c>
      <c r="E484" s="398" t="s">
        <v>2218</v>
      </c>
      <c r="F484" s="398" t="s">
        <v>2123</v>
      </c>
      <c r="G484" s="398"/>
      <c r="H484" s="398" t="s">
        <v>281</v>
      </c>
      <c r="I484" s="401" t="s">
        <v>2642</v>
      </c>
      <c r="J484" s="131" t="str">
        <f t="shared" si="7"/>
        <v>13</v>
      </c>
    </row>
    <row r="485" spans="1:10" s="114" customFormat="1" ht="24" hidden="1" customHeight="1">
      <c r="A485" s="398">
        <v>35</v>
      </c>
      <c r="B485" s="132" t="s">
        <v>2338</v>
      </c>
      <c r="C485" s="439" t="s">
        <v>395</v>
      </c>
      <c r="D485" s="440" t="s">
        <v>221</v>
      </c>
      <c r="E485" s="398" t="s">
        <v>1735</v>
      </c>
      <c r="F485" s="398" t="s">
        <v>2123</v>
      </c>
      <c r="G485" s="398"/>
      <c r="H485" s="398" t="s">
        <v>281</v>
      </c>
      <c r="I485" s="401" t="s">
        <v>2642</v>
      </c>
      <c r="J485" s="131" t="str">
        <f t="shared" si="7"/>
        <v>13</v>
      </c>
    </row>
    <row r="486" spans="1:10" s="114" customFormat="1" ht="24" hidden="1" customHeight="1">
      <c r="A486" s="398">
        <v>36</v>
      </c>
      <c r="B486" s="132" t="s">
        <v>2180</v>
      </c>
      <c r="C486" s="439" t="s">
        <v>2181</v>
      </c>
      <c r="D486" s="440" t="s">
        <v>973</v>
      </c>
      <c r="E486" s="398" t="s">
        <v>2182</v>
      </c>
      <c r="F486" s="398" t="s">
        <v>2123</v>
      </c>
      <c r="G486" s="398"/>
      <c r="H486" s="398" t="s">
        <v>281</v>
      </c>
      <c r="I486" s="401"/>
      <c r="J486" s="131" t="str">
        <f t="shared" si="7"/>
        <v>13</v>
      </c>
    </row>
    <row r="487" spans="1:10" s="115" customFormat="1" ht="24" hidden="1" customHeight="1">
      <c r="A487" s="398">
        <v>37</v>
      </c>
      <c r="B487" s="132" t="s">
        <v>2339</v>
      </c>
      <c r="C487" s="439" t="s">
        <v>232</v>
      </c>
      <c r="D487" s="440" t="s">
        <v>225</v>
      </c>
      <c r="E487" s="398" t="s">
        <v>327</v>
      </c>
      <c r="F487" s="398" t="s">
        <v>2123</v>
      </c>
      <c r="G487" s="398"/>
      <c r="H487" s="398" t="s">
        <v>281</v>
      </c>
      <c r="I487" s="401" t="s">
        <v>2642</v>
      </c>
      <c r="J487" s="131" t="str">
        <f t="shared" si="7"/>
        <v>13</v>
      </c>
    </row>
    <row r="488" spans="1:10" s="114" customFormat="1" ht="24" hidden="1" customHeight="1">
      <c r="A488" s="398">
        <v>38</v>
      </c>
      <c r="B488" s="132" t="s">
        <v>2183</v>
      </c>
      <c r="C488" s="439" t="s">
        <v>195</v>
      </c>
      <c r="D488" s="440" t="s">
        <v>350</v>
      </c>
      <c r="E488" s="398" t="s">
        <v>2184</v>
      </c>
      <c r="F488" s="398" t="s">
        <v>2123</v>
      </c>
      <c r="G488" s="398"/>
      <c r="H488" s="398" t="s">
        <v>281</v>
      </c>
      <c r="I488" s="401"/>
      <c r="J488" s="131" t="str">
        <f t="shared" si="7"/>
        <v>13</v>
      </c>
    </row>
    <row r="489" spans="1:10" s="114" customFormat="1" ht="24" hidden="1" customHeight="1">
      <c r="A489" s="398">
        <v>39</v>
      </c>
      <c r="B489" s="132" t="s">
        <v>2185</v>
      </c>
      <c r="C489" s="439" t="s">
        <v>2186</v>
      </c>
      <c r="D489" s="440" t="s">
        <v>446</v>
      </c>
      <c r="E489" s="398" t="s">
        <v>1098</v>
      </c>
      <c r="F489" s="398" t="s">
        <v>2123</v>
      </c>
      <c r="G489" s="398"/>
      <c r="H489" s="398" t="s">
        <v>281</v>
      </c>
      <c r="I489" s="401"/>
      <c r="J489" s="131" t="str">
        <f t="shared" si="7"/>
        <v>13</v>
      </c>
    </row>
    <row r="490" spans="1:10" s="115" customFormat="1" ht="24" hidden="1" customHeight="1">
      <c r="A490" s="398">
        <v>40</v>
      </c>
      <c r="B490" s="132" t="s">
        <v>2340</v>
      </c>
      <c r="C490" s="439" t="s">
        <v>2341</v>
      </c>
      <c r="D490" s="440" t="s">
        <v>446</v>
      </c>
      <c r="E490" s="398" t="s">
        <v>1731</v>
      </c>
      <c r="F490" s="398" t="s">
        <v>2123</v>
      </c>
      <c r="G490" s="398"/>
      <c r="H490" s="398" t="s">
        <v>281</v>
      </c>
      <c r="I490" s="401" t="s">
        <v>2642</v>
      </c>
      <c r="J490" s="131" t="str">
        <f t="shared" si="7"/>
        <v>13</v>
      </c>
    </row>
    <row r="491" spans="1:10" s="114" customFormat="1" ht="24" hidden="1" customHeight="1">
      <c r="A491" s="398">
        <v>41</v>
      </c>
      <c r="B491" s="132" t="s">
        <v>2187</v>
      </c>
      <c r="C491" s="439" t="s">
        <v>482</v>
      </c>
      <c r="D491" s="440" t="s">
        <v>468</v>
      </c>
      <c r="E491" s="398" t="s">
        <v>424</v>
      </c>
      <c r="F491" s="398" t="s">
        <v>2123</v>
      </c>
      <c r="G491" s="398"/>
      <c r="H491" s="398" t="s">
        <v>281</v>
      </c>
      <c r="I491" s="401"/>
      <c r="J491" s="131" t="str">
        <f t="shared" si="7"/>
        <v>13</v>
      </c>
    </row>
    <row r="492" spans="1:10" s="115" customFormat="1" ht="24" hidden="1" customHeight="1">
      <c r="A492" s="398">
        <v>42</v>
      </c>
      <c r="B492" s="132" t="s">
        <v>2342</v>
      </c>
      <c r="C492" s="439" t="s">
        <v>2075</v>
      </c>
      <c r="D492" s="440" t="s">
        <v>468</v>
      </c>
      <c r="E492" s="398" t="s">
        <v>2343</v>
      </c>
      <c r="F492" s="398" t="s">
        <v>2123</v>
      </c>
      <c r="G492" s="398"/>
      <c r="H492" s="398" t="s">
        <v>281</v>
      </c>
      <c r="I492" s="401" t="s">
        <v>2655</v>
      </c>
      <c r="J492" s="131" t="str">
        <f t="shared" si="7"/>
        <v>13</v>
      </c>
    </row>
    <row r="493" spans="1:10" s="114" customFormat="1" ht="24" hidden="1" customHeight="1">
      <c r="A493" s="398">
        <v>43</v>
      </c>
      <c r="B493" s="132" t="s">
        <v>2344</v>
      </c>
      <c r="C493" s="439" t="s">
        <v>216</v>
      </c>
      <c r="D493" s="440" t="s">
        <v>391</v>
      </c>
      <c r="E493" s="398" t="s">
        <v>2345</v>
      </c>
      <c r="F493" s="398" t="s">
        <v>2123</v>
      </c>
      <c r="G493" s="398"/>
      <c r="H493" s="398" t="s">
        <v>281</v>
      </c>
      <c r="I493" s="401" t="s">
        <v>2642</v>
      </c>
      <c r="J493" s="131" t="str">
        <f t="shared" si="7"/>
        <v>13</v>
      </c>
    </row>
    <row r="494" spans="1:10" s="115" customFormat="1" ht="24" hidden="1" customHeight="1">
      <c r="A494" s="398">
        <v>44</v>
      </c>
      <c r="B494" s="132" t="s">
        <v>2188</v>
      </c>
      <c r="C494" s="439" t="s">
        <v>1652</v>
      </c>
      <c r="D494" s="440" t="s">
        <v>1099</v>
      </c>
      <c r="E494" s="398" t="s">
        <v>399</v>
      </c>
      <c r="F494" s="398" t="s">
        <v>2123</v>
      </c>
      <c r="G494" s="398"/>
      <c r="H494" s="398" t="s">
        <v>281</v>
      </c>
      <c r="I494" s="401"/>
      <c r="J494" s="131" t="str">
        <f t="shared" si="7"/>
        <v>13</v>
      </c>
    </row>
    <row r="495" spans="1:10" s="114" customFormat="1" ht="24" hidden="1" customHeight="1">
      <c r="A495" s="398">
        <v>45</v>
      </c>
      <c r="B495" s="132" t="s">
        <v>2346</v>
      </c>
      <c r="C495" s="439" t="s">
        <v>2347</v>
      </c>
      <c r="D495" s="440" t="s">
        <v>226</v>
      </c>
      <c r="E495" s="398" t="s">
        <v>1027</v>
      </c>
      <c r="F495" s="398" t="s">
        <v>2123</v>
      </c>
      <c r="G495" s="398"/>
      <c r="H495" s="398" t="s">
        <v>281</v>
      </c>
      <c r="I495" s="401" t="s">
        <v>2642</v>
      </c>
      <c r="J495" s="131" t="str">
        <f t="shared" si="7"/>
        <v>13</v>
      </c>
    </row>
    <row r="496" spans="1:10" s="115" customFormat="1" ht="24" hidden="1" customHeight="1">
      <c r="A496" s="398">
        <v>46</v>
      </c>
      <c r="B496" s="132" t="s">
        <v>2189</v>
      </c>
      <c r="C496" s="439" t="s">
        <v>2190</v>
      </c>
      <c r="D496" s="440" t="s">
        <v>228</v>
      </c>
      <c r="E496" s="398" t="s">
        <v>2191</v>
      </c>
      <c r="F496" s="398" t="s">
        <v>2123</v>
      </c>
      <c r="G496" s="398"/>
      <c r="H496" s="398" t="s">
        <v>486</v>
      </c>
      <c r="I496" s="401"/>
      <c r="J496" s="131" t="str">
        <f t="shared" si="7"/>
        <v>13</v>
      </c>
    </row>
    <row r="497" spans="1:10" s="114" customFormat="1" ht="24" hidden="1" customHeight="1">
      <c r="A497" s="398">
        <v>47</v>
      </c>
      <c r="B497" s="132" t="s">
        <v>2348</v>
      </c>
      <c r="C497" s="439" t="s">
        <v>415</v>
      </c>
      <c r="D497" s="440" t="s">
        <v>228</v>
      </c>
      <c r="E497" s="398" t="s">
        <v>2349</v>
      </c>
      <c r="F497" s="398" t="s">
        <v>2123</v>
      </c>
      <c r="G497" s="398"/>
      <c r="H497" s="398" t="s">
        <v>281</v>
      </c>
      <c r="I497" s="401" t="s">
        <v>2655</v>
      </c>
      <c r="J497" s="131" t="str">
        <f t="shared" si="7"/>
        <v>13</v>
      </c>
    </row>
    <row r="498" spans="1:10" s="115" customFormat="1" ht="24" hidden="1" customHeight="1">
      <c r="A498" s="398">
        <v>48</v>
      </c>
      <c r="B498" s="132" t="s">
        <v>2350</v>
      </c>
      <c r="C498" s="439" t="s">
        <v>2351</v>
      </c>
      <c r="D498" s="440" t="s">
        <v>1328</v>
      </c>
      <c r="E498" s="398" t="s">
        <v>2352</v>
      </c>
      <c r="F498" s="398" t="s">
        <v>2123</v>
      </c>
      <c r="G498" s="400"/>
      <c r="H498" s="398" t="s">
        <v>281</v>
      </c>
      <c r="I498" s="401"/>
      <c r="J498" s="131" t="str">
        <f t="shared" si="7"/>
        <v>13</v>
      </c>
    </row>
    <row r="499" spans="1:10" s="114" customFormat="1" ht="24" hidden="1" customHeight="1">
      <c r="A499" s="398">
        <v>49</v>
      </c>
      <c r="B499" s="132" t="s">
        <v>2192</v>
      </c>
      <c r="C499" s="439" t="s">
        <v>2193</v>
      </c>
      <c r="D499" s="440" t="s">
        <v>230</v>
      </c>
      <c r="E499" s="398" t="s">
        <v>1070</v>
      </c>
      <c r="F499" s="398" t="s">
        <v>2123</v>
      </c>
      <c r="G499" s="398"/>
      <c r="H499" s="398" t="s">
        <v>281</v>
      </c>
      <c r="I499" s="401"/>
      <c r="J499" s="131" t="str">
        <f t="shared" si="7"/>
        <v>13</v>
      </c>
    </row>
    <row r="500" spans="1:10" s="114" customFormat="1" ht="24" hidden="1" customHeight="1">
      <c r="A500" s="398">
        <v>50</v>
      </c>
      <c r="B500" s="403" t="s">
        <v>2656</v>
      </c>
      <c r="C500" s="439" t="s">
        <v>2657</v>
      </c>
      <c r="D500" s="440" t="s">
        <v>230</v>
      </c>
      <c r="E500" s="398" t="s">
        <v>2658</v>
      </c>
      <c r="F500" s="398" t="s">
        <v>2123</v>
      </c>
      <c r="G500" s="400" t="s">
        <v>325</v>
      </c>
      <c r="H500" s="398" t="s">
        <v>281</v>
      </c>
      <c r="I500" s="405" t="s">
        <v>2659</v>
      </c>
      <c r="J500" s="131" t="str">
        <f t="shared" si="7"/>
        <v>13</v>
      </c>
    </row>
    <row r="501" spans="1:10" s="114" customFormat="1" ht="24" hidden="1" customHeight="1">
      <c r="A501" s="398">
        <v>51</v>
      </c>
      <c r="B501" s="132" t="s">
        <v>2194</v>
      </c>
      <c r="C501" s="439" t="s">
        <v>482</v>
      </c>
      <c r="D501" s="440" t="s">
        <v>231</v>
      </c>
      <c r="E501" s="398" t="s">
        <v>2009</v>
      </c>
      <c r="F501" s="398" t="s">
        <v>2123</v>
      </c>
      <c r="G501" s="398"/>
      <c r="H501" s="398" t="s">
        <v>281</v>
      </c>
      <c r="I501" s="401"/>
      <c r="J501" s="131" t="str">
        <f t="shared" si="7"/>
        <v>13</v>
      </c>
    </row>
    <row r="502" spans="1:10" s="114" customFormat="1" ht="24" hidden="1" customHeight="1">
      <c r="A502" s="398">
        <v>52</v>
      </c>
      <c r="B502" s="132" t="s">
        <v>2195</v>
      </c>
      <c r="C502" s="439" t="s">
        <v>234</v>
      </c>
      <c r="D502" s="440" t="s">
        <v>1100</v>
      </c>
      <c r="E502" s="398" t="s">
        <v>1766</v>
      </c>
      <c r="F502" s="398" t="s">
        <v>2123</v>
      </c>
      <c r="G502" s="398"/>
      <c r="H502" s="398" t="s">
        <v>281</v>
      </c>
      <c r="I502" s="401"/>
      <c r="J502" s="131" t="str">
        <f t="shared" si="7"/>
        <v>13</v>
      </c>
    </row>
    <row r="503" spans="1:10" s="114" customFormat="1" ht="24" hidden="1" customHeight="1">
      <c r="A503" s="398">
        <v>53</v>
      </c>
      <c r="B503" s="403" t="s">
        <v>2660</v>
      </c>
      <c r="C503" s="439" t="s">
        <v>198</v>
      </c>
      <c r="D503" s="440" t="s">
        <v>233</v>
      </c>
      <c r="E503" s="398" t="s">
        <v>138</v>
      </c>
      <c r="F503" s="398" t="s">
        <v>2123</v>
      </c>
      <c r="G503" s="400" t="s">
        <v>325</v>
      </c>
      <c r="H503" s="398"/>
      <c r="I503" s="404" t="s">
        <v>2661</v>
      </c>
      <c r="J503" s="131" t="str">
        <f t="shared" si="7"/>
        <v>13</v>
      </c>
    </row>
    <row r="504" spans="1:10" s="114" customFormat="1" ht="24" hidden="1" customHeight="1">
      <c r="A504" s="398">
        <v>54</v>
      </c>
      <c r="B504" s="132" t="s">
        <v>2196</v>
      </c>
      <c r="C504" s="439" t="s">
        <v>392</v>
      </c>
      <c r="D504" s="440" t="s">
        <v>235</v>
      </c>
      <c r="E504" s="398" t="s">
        <v>2197</v>
      </c>
      <c r="F504" s="398" t="s">
        <v>2123</v>
      </c>
      <c r="G504" s="398"/>
      <c r="H504" s="398" t="s">
        <v>281</v>
      </c>
      <c r="I504" s="401"/>
      <c r="J504" s="131" t="str">
        <f t="shared" si="7"/>
        <v>13</v>
      </c>
    </row>
    <row r="505" spans="1:10" s="114" customFormat="1" ht="24" hidden="1" customHeight="1">
      <c r="A505" s="398">
        <v>55</v>
      </c>
      <c r="B505" s="132" t="s">
        <v>2198</v>
      </c>
      <c r="C505" s="439" t="s">
        <v>198</v>
      </c>
      <c r="D505" s="440" t="s">
        <v>2199</v>
      </c>
      <c r="E505" s="398" t="s">
        <v>2200</v>
      </c>
      <c r="F505" s="398" t="s">
        <v>2123</v>
      </c>
      <c r="G505" s="398"/>
      <c r="H505" s="398" t="s">
        <v>281</v>
      </c>
      <c r="I505" s="401"/>
      <c r="J505" s="131" t="str">
        <f t="shared" si="7"/>
        <v>13</v>
      </c>
    </row>
    <row r="506" spans="1:10" s="114" customFormat="1" ht="24" hidden="1" customHeight="1">
      <c r="A506" s="398">
        <v>56</v>
      </c>
      <c r="B506" s="132" t="s">
        <v>2201</v>
      </c>
      <c r="C506" s="439" t="s">
        <v>2147</v>
      </c>
      <c r="D506" s="440" t="s">
        <v>1040</v>
      </c>
      <c r="E506" s="398" t="s">
        <v>2202</v>
      </c>
      <c r="F506" s="398" t="s">
        <v>2123</v>
      </c>
      <c r="G506" s="400"/>
      <c r="H506" s="398" t="s">
        <v>281</v>
      </c>
      <c r="I506" s="401"/>
      <c r="J506" s="131" t="str">
        <f t="shared" si="7"/>
        <v>13</v>
      </c>
    </row>
    <row r="507" spans="1:10" s="114" customFormat="1" ht="24" hidden="1" customHeight="1" thickBot="1">
      <c r="A507" s="406">
        <v>57</v>
      </c>
      <c r="B507" s="132" t="s">
        <v>2203</v>
      </c>
      <c r="C507" s="441" t="s">
        <v>2204</v>
      </c>
      <c r="D507" s="442" t="s">
        <v>473</v>
      </c>
      <c r="E507" s="406" t="s">
        <v>983</v>
      </c>
      <c r="F507" s="406" t="s">
        <v>2123</v>
      </c>
      <c r="G507" s="406"/>
      <c r="H507" s="406" t="s">
        <v>486</v>
      </c>
      <c r="I507" s="417" t="s">
        <v>173</v>
      </c>
      <c r="J507" s="131" t="str">
        <f t="shared" si="7"/>
        <v>13</v>
      </c>
    </row>
    <row r="508" spans="1:10" s="114" customFormat="1" ht="24" hidden="1" customHeight="1">
      <c r="A508" s="408">
        <v>1</v>
      </c>
      <c r="B508" s="132" t="s">
        <v>2205</v>
      </c>
      <c r="C508" s="443" t="s">
        <v>433</v>
      </c>
      <c r="D508" s="444" t="s">
        <v>1090</v>
      </c>
      <c r="E508" s="408" t="s">
        <v>2206</v>
      </c>
      <c r="F508" s="409" t="s">
        <v>2207</v>
      </c>
      <c r="G508" s="408"/>
      <c r="H508" s="408" t="s">
        <v>486</v>
      </c>
      <c r="I508" s="410"/>
      <c r="J508" s="131" t="str">
        <f t="shared" si="7"/>
        <v>13</v>
      </c>
    </row>
    <row r="509" spans="1:10" s="114" customFormat="1" ht="24" hidden="1" customHeight="1">
      <c r="A509" s="398">
        <v>2</v>
      </c>
      <c r="B509" s="132" t="s">
        <v>2208</v>
      </c>
      <c r="C509" s="439" t="s">
        <v>1209</v>
      </c>
      <c r="D509" s="440" t="s">
        <v>425</v>
      </c>
      <c r="E509" s="398" t="s">
        <v>1449</v>
      </c>
      <c r="F509" s="398" t="s">
        <v>2207</v>
      </c>
      <c r="G509" s="398"/>
      <c r="H509" s="398" t="s">
        <v>486</v>
      </c>
      <c r="I509" s="401"/>
      <c r="J509" s="131" t="str">
        <f t="shared" si="7"/>
        <v>13</v>
      </c>
    </row>
    <row r="510" spans="1:10" s="114" customFormat="1" ht="24" hidden="1" customHeight="1">
      <c r="A510" s="398">
        <v>3</v>
      </c>
      <c r="B510" s="132" t="s">
        <v>2209</v>
      </c>
      <c r="C510" s="439" t="s">
        <v>395</v>
      </c>
      <c r="D510" s="440" t="s">
        <v>1265</v>
      </c>
      <c r="E510" s="398" t="s">
        <v>997</v>
      </c>
      <c r="F510" s="398" t="s">
        <v>2207</v>
      </c>
      <c r="G510" s="400"/>
      <c r="H510" s="398" t="s">
        <v>281</v>
      </c>
      <c r="I510" s="401"/>
      <c r="J510" s="131" t="str">
        <f t="shared" si="7"/>
        <v>13</v>
      </c>
    </row>
    <row r="511" spans="1:10" s="114" customFormat="1" ht="24" hidden="1" customHeight="1">
      <c r="A511" s="398">
        <v>4</v>
      </c>
      <c r="B511" s="132" t="s">
        <v>2210</v>
      </c>
      <c r="C511" s="439" t="s">
        <v>452</v>
      </c>
      <c r="D511" s="440" t="s">
        <v>364</v>
      </c>
      <c r="E511" s="398" t="s">
        <v>2211</v>
      </c>
      <c r="F511" s="398" t="s">
        <v>2207</v>
      </c>
      <c r="G511" s="398"/>
      <c r="H511" s="398" t="s">
        <v>281</v>
      </c>
      <c r="I511" s="401"/>
      <c r="J511" s="131" t="str">
        <f t="shared" si="7"/>
        <v>13</v>
      </c>
    </row>
    <row r="512" spans="1:10" s="114" customFormat="1" ht="24" hidden="1" customHeight="1">
      <c r="A512" s="398">
        <v>5</v>
      </c>
      <c r="B512" s="132" t="s">
        <v>2212</v>
      </c>
      <c r="C512" s="439" t="s">
        <v>462</v>
      </c>
      <c r="D512" s="440" t="s">
        <v>2213</v>
      </c>
      <c r="E512" s="398" t="s">
        <v>991</v>
      </c>
      <c r="F512" s="398" t="s">
        <v>2207</v>
      </c>
      <c r="G512" s="398"/>
      <c r="H512" s="398" t="s">
        <v>281</v>
      </c>
      <c r="I512" s="401"/>
      <c r="J512" s="131" t="str">
        <f t="shared" si="7"/>
        <v>13</v>
      </c>
    </row>
    <row r="513" spans="1:10" s="114" customFormat="1" ht="24" hidden="1" customHeight="1">
      <c r="A513" s="398">
        <v>6</v>
      </c>
      <c r="B513" s="132" t="s">
        <v>2214</v>
      </c>
      <c r="C513" s="439" t="s">
        <v>2215</v>
      </c>
      <c r="D513" s="440" t="s">
        <v>202</v>
      </c>
      <c r="E513" s="398" t="s">
        <v>2216</v>
      </c>
      <c r="F513" s="398" t="s">
        <v>2207</v>
      </c>
      <c r="G513" s="398"/>
      <c r="H513" s="398" t="s">
        <v>281</v>
      </c>
      <c r="I513" s="401"/>
      <c r="J513" s="131" t="str">
        <f t="shared" si="7"/>
        <v>13</v>
      </c>
    </row>
    <row r="514" spans="1:10" s="114" customFormat="1" ht="24" hidden="1" customHeight="1">
      <c r="A514" s="398">
        <v>7</v>
      </c>
      <c r="B514" s="132" t="s">
        <v>2217</v>
      </c>
      <c r="C514" s="439" t="s">
        <v>392</v>
      </c>
      <c r="D514" s="440" t="s">
        <v>1280</v>
      </c>
      <c r="E514" s="398" t="s">
        <v>2218</v>
      </c>
      <c r="F514" s="398" t="s">
        <v>2207</v>
      </c>
      <c r="G514" s="400" t="s">
        <v>336</v>
      </c>
      <c r="H514" s="398" t="s">
        <v>281</v>
      </c>
      <c r="I514" s="401"/>
      <c r="J514" s="131" t="str">
        <f t="shared" si="7"/>
        <v>13</v>
      </c>
    </row>
    <row r="515" spans="1:10" s="115" customFormat="1" ht="24" hidden="1" customHeight="1">
      <c r="A515" s="398">
        <v>8</v>
      </c>
      <c r="B515" s="132" t="s">
        <v>2219</v>
      </c>
      <c r="C515" s="439" t="s">
        <v>448</v>
      </c>
      <c r="D515" s="440" t="s">
        <v>2220</v>
      </c>
      <c r="E515" s="398" t="s">
        <v>1403</v>
      </c>
      <c r="F515" s="398" t="s">
        <v>2207</v>
      </c>
      <c r="G515" s="398"/>
      <c r="H515" s="398" t="s">
        <v>281</v>
      </c>
      <c r="I515" s="401"/>
      <c r="J515" s="131" t="str">
        <f t="shared" ref="J515:J578" si="8">LEFT(F515,2)</f>
        <v>13</v>
      </c>
    </row>
    <row r="516" spans="1:10" s="115" customFormat="1" ht="24" hidden="1" customHeight="1">
      <c r="A516" s="398">
        <v>9</v>
      </c>
      <c r="B516" s="132" t="s">
        <v>2221</v>
      </c>
      <c r="C516" s="439" t="s">
        <v>193</v>
      </c>
      <c r="D516" s="440" t="s">
        <v>366</v>
      </c>
      <c r="E516" s="398" t="s">
        <v>2143</v>
      </c>
      <c r="F516" s="398" t="s">
        <v>2207</v>
      </c>
      <c r="G516" s="398"/>
      <c r="H516" s="398" t="s">
        <v>281</v>
      </c>
      <c r="I516" s="401"/>
      <c r="J516" s="131" t="str">
        <f t="shared" si="8"/>
        <v>13</v>
      </c>
    </row>
    <row r="517" spans="1:10" s="114" customFormat="1" ht="24" hidden="1" customHeight="1">
      <c r="A517" s="398">
        <v>10</v>
      </c>
      <c r="B517" s="132" t="s">
        <v>2222</v>
      </c>
      <c r="C517" s="439" t="s">
        <v>2223</v>
      </c>
      <c r="D517" s="440" t="s">
        <v>404</v>
      </c>
      <c r="E517" s="398" t="s">
        <v>2224</v>
      </c>
      <c r="F517" s="398" t="s">
        <v>2207</v>
      </c>
      <c r="G517" s="398"/>
      <c r="H517" s="398" t="s">
        <v>281</v>
      </c>
      <c r="I517" s="401" t="s">
        <v>2004</v>
      </c>
      <c r="J517" s="131" t="str">
        <f t="shared" si="8"/>
        <v>13</v>
      </c>
    </row>
    <row r="518" spans="1:10" s="114" customFormat="1" ht="24" hidden="1" customHeight="1">
      <c r="A518" s="398">
        <v>11</v>
      </c>
      <c r="B518" s="132" t="s">
        <v>2225</v>
      </c>
      <c r="C518" s="439" t="s">
        <v>282</v>
      </c>
      <c r="D518" s="440" t="s">
        <v>1095</v>
      </c>
      <c r="E518" s="398" t="s">
        <v>1115</v>
      </c>
      <c r="F518" s="398" t="s">
        <v>2207</v>
      </c>
      <c r="G518" s="398"/>
      <c r="H518" s="398" t="s">
        <v>281</v>
      </c>
      <c r="I518" s="401"/>
      <c r="J518" s="131" t="str">
        <f t="shared" si="8"/>
        <v>13</v>
      </c>
    </row>
    <row r="519" spans="1:10" s="115" customFormat="1" ht="24" hidden="1" customHeight="1">
      <c r="A519" s="398">
        <v>12</v>
      </c>
      <c r="B519" s="132" t="s">
        <v>2226</v>
      </c>
      <c r="C519" s="439" t="s">
        <v>2227</v>
      </c>
      <c r="D519" s="440" t="s">
        <v>296</v>
      </c>
      <c r="E519" s="398" t="s">
        <v>428</v>
      </c>
      <c r="F519" s="398" t="s">
        <v>2207</v>
      </c>
      <c r="G519" s="398"/>
      <c r="H519" s="398" t="s">
        <v>281</v>
      </c>
      <c r="I519" s="401"/>
      <c r="J519" s="131" t="str">
        <f t="shared" si="8"/>
        <v>13</v>
      </c>
    </row>
    <row r="520" spans="1:10" s="115" customFormat="1" ht="24" hidden="1" customHeight="1">
      <c r="A520" s="398">
        <v>13</v>
      </c>
      <c r="B520" s="132" t="s">
        <v>2228</v>
      </c>
      <c r="C520" s="439" t="s">
        <v>2229</v>
      </c>
      <c r="D520" s="440" t="s">
        <v>208</v>
      </c>
      <c r="E520" s="398" t="s">
        <v>1116</v>
      </c>
      <c r="F520" s="398" t="s">
        <v>2207</v>
      </c>
      <c r="G520" s="398"/>
      <c r="H520" s="398" t="s">
        <v>281</v>
      </c>
      <c r="I520" s="401"/>
      <c r="J520" s="131" t="str">
        <f t="shared" si="8"/>
        <v>13</v>
      </c>
    </row>
    <row r="521" spans="1:10" s="115" customFormat="1" ht="24" hidden="1" customHeight="1">
      <c r="A521" s="398">
        <v>14</v>
      </c>
      <c r="B521" s="132" t="s">
        <v>2230</v>
      </c>
      <c r="C521" s="439" t="s">
        <v>429</v>
      </c>
      <c r="D521" s="440" t="s">
        <v>2231</v>
      </c>
      <c r="E521" s="398" t="s">
        <v>2009</v>
      </c>
      <c r="F521" s="398" t="s">
        <v>2207</v>
      </c>
      <c r="G521" s="398"/>
      <c r="H521" s="398" t="s">
        <v>281</v>
      </c>
      <c r="I521" s="401"/>
      <c r="J521" s="131" t="str">
        <f t="shared" si="8"/>
        <v>13</v>
      </c>
    </row>
    <row r="522" spans="1:10" s="114" customFormat="1" ht="24" hidden="1" customHeight="1">
      <c r="A522" s="398">
        <v>15</v>
      </c>
      <c r="B522" s="132" t="s">
        <v>2232</v>
      </c>
      <c r="C522" s="439" t="s">
        <v>367</v>
      </c>
      <c r="D522" s="440" t="s">
        <v>328</v>
      </c>
      <c r="E522" s="398" t="s">
        <v>2224</v>
      </c>
      <c r="F522" s="398" t="s">
        <v>2207</v>
      </c>
      <c r="G522" s="398"/>
      <c r="H522" s="398" t="s">
        <v>281</v>
      </c>
      <c r="I522" s="401"/>
      <c r="J522" s="131" t="str">
        <f t="shared" si="8"/>
        <v>13</v>
      </c>
    </row>
    <row r="523" spans="1:10" s="115" customFormat="1" ht="24" hidden="1" customHeight="1">
      <c r="A523" s="398">
        <v>16</v>
      </c>
      <c r="B523" s="132" t="s">
        <v>964</v>
      </c>
      <c r="C523" s="439" t="s">
        <v>234</v>
      </c>
      <c r="D523" s="440" t="s">
        <v>965</v>
      </c>
      <c r="E523" s="398" t="s">
        <v>966</v>
      </c>
      <c r="F523" s="398" t="s">
        <v>2207</v>
      </c>
      <c r="G523" s="400" t="s">
        <v>325</v>
      </c>
      <c r="H523" s="398" t="s">
        <v>281</v>
      </c>
      <c r="I523" s="411"/>
      <c r="J523" s="131" t="str">
        <f t="shared" si="8"/>
        <v>13</v>
      </c>
    </row>
    <row r="524" spans="1:10" s="115" customFormat="1" ht="24" hidden="1" customHeight="1">
      <c r="A524" s="398">
        <v>17</v>
      </c>
      <c r="B524" s="132" t="s">
        <v>2233</v>
      </c>
      <c r="C524" s="439" t="s">
        <v>2234</v>
      </c>
      <c r="D524" s="440" t="s">
        <v>1513</v>
      </c>
      <c r="E524" s="398" t="s">
        <v>2235</v>
      </c>
      <c r="F524" s="398" t="s">
        <v>2207</v>
      </c>
      <c r="G524" s="398"/>
      <c r="H524" s="398" t="s">
        <v>281</v>
      </c>
      <c r="I524" s="401" t="s">
        <v>2236</v>
      </c>
      <c r="J524" s="131" t="str">
        <f t="shared" si="8"/>
        <v>13</v>
      </c>
    </row>
    <row r="525" spans="1:10" s="114" customFormat="1" ht="24" hidden="1" customHeight="1">
      <c r="A525" s="398">
        <v>18</v>
      </c>
      <c r="B525" s="132" t="s">
        <v>2237</v>
      </c>
      <c r="C525" s="439" t="s">
        <v>2238</v>
      </c>
      <c r="D525" s="440" t="s">
        <v>333</v>
      </c>
      <c r="E525" s="398" t="s">
        <v>2239</v>
      </c>
      <c r="F525" s="398" t="s">
        <v>2207</v>
      </c>
      <c r="G525" s="398"/>
      <c r="H525" s="398" t="s">
        <v>281</v>
      </c>
      <c r="I525" s="401"/>
      <c r="J525" s="131" t="str">
        <f t="shared" si="8"/>
        <v>13</v>
      </c>
    </row>
    <row r="526" spans="1:10" s="114" customFormat="1" ht="24" hidden="1" customHeight="1">
      <c r="A526" s="398">
        <v>19</v>
      </c>
      <c r="B526" s="132" t="s">
        <v>2240</v>
      </c>
      <c r="C526" s="439" t="s">
        <v>1555</v>
      </c>
      <c r="D526" s="440" t="s">
        <v>213</v>
      </c>
      <c r="E526" s="398" t="s">
        <v>1757</v>
      </c>
      <c r="F526" s="398" t="s">
        <v>2207</v>
      </c>
      <c r="G526" s="400" t="s">
        <v>360</v>
      </c>
      <c r="H526" s="398" t="s">
        <v>486</v>
      </c>
      <c r="I526" s="401"/>
      <c r="J526" s="131" t="str">
        <f t="shared" si="8"/>
        <v>13</v>
      </c>
    </row>
    <row r="527" spans="1:10" s="114" customFormat="1" ht="24" hidden="1" customHeight="1">
      <c r="A527" s="398">
        <v>20</v>
      </c>
      <c r="B527" s="403" t="s">
        <v>2662</v>
      </c>
      <c r="C527" s="439" t="s">
        <v>2663</v>
      </c>
      <c r="D527" s="440" t="s">
        <v>213</v>
      </c>
      <c r="E527" s="398" t="s">
        <v>2664</v>
      </c>
      <c r="F527" s="398" t="s">
        <v>2207</v>
      </c>
      <c r="G527" s="400" t="s">
        <v>325</v>
      </c>
      <c r="H527" s="398"/>
      <c r="I527" s="405" t="s">
        <v>2665</v>
      </c>
      <c r="J527" s="131" t="str">
        <f t="shared" si="8"/>
        <v>13</v>
      </c>
    </row>
    <row r="528" spans="1:10" s="115" customFormat="1" ht="24" hidden="1" customHeight="1">
      <c r="A528" s="398">
        <v>21</v>
      </c>
      <c r="B528" s="132" t="s">
        <v>2241</v>
      </c>
      <c r="C528" s="439" t="s">
        <v>392</v>
      </c>
      <c r="D528" s="440" t="s">
        <v>335</v>
      </c>
      <c r="E528" s="398" t="s">
        <v>1118</v>
      </c>
      <c r="F528" s="398" t="s">
        <v>2207</v>
      </c>
      <c r="G528" s="398"/>
      <c r="H528" s="398" t="s">
        <v>281</v>
      </c>
      <c r="I528" s="401"/>
      <c r="J528" s="131" t="str">
        <f t="shared" si="8"/>
        <v>13</v>
      </c>
    </row>
    <row r="529" spans="1:10" s="115" customFormat="1" ht="24" hidden="1" customHeight="1">
      <c r="A529" s="398">
        <v>22</v>
      </c>
      <c r="B529" s="132" t="s">
        <v>2242</v>
      </c>
      <c r="C529" s="439" t="s">
        <v>1119</v>
      </c>
      <c r="D529" s="440" t="s">
        <v>335</v>
      </c>
      <c r="E529" s="398" t="s">
        <v>2243</v>
      </c>
      <c r="F529" s="398" t="s">
        <v>2207</v>
      </c>
      <c r="G529" s="400" t="s">
        <v>330</v>
      </c>
      <c r="H529" s="398" t="s">
        <v>486</v>
      </c>
      <c r="I529" s="401"/>
      <c r="J529" s="131" t="str">
        <f t="shared" si="8"/>
        <v>13</v>
      </c>
    </row>
    <row r="530" spans="1:10" s="114" customFormat="1" ht="24" hidden="1" customHeight="1">
      <c r="A530" s="398">
        <v>23</v>
      </c>
      <c r="B530" s="132" t="s">
        <v>2244</v>
      </c>
      <c r="C530" s="439" t="s">
        <v>2245</v>
      </c>
      <c r="D530" s="440" t="s">
        <v>340</v>
      </c>
      <c r="E530" s="398" t="s">
        <v>1635</v>
      </c>
      <c r="F530" s="398" t="s">
        <v>2207</v>
      </c>
      <c r="G530" s="398"/>
      <c r="H530" s="398" t="s">
        <v>281</v>
      </c>
      <c r="I530" s="401"/>
      <c r="J530" s="131" t="str">
        <f t="shared" si="8"/>
        <v>13</v>
      </c>
    </row>
    <row r="531" spans="1:10" s="115" customFormat="1" ht="24" hidden="1" customHeight="1">
      <c r="A531" s="398">
        <v>24</v>
      </c>
      <c r="B531" s="132" t="s">
        <v>2246</v>
      </c>
      <c r="C531" s="439" t="s">
        <v>1867</v>
      </c>
      <c r="D531" s="440" t="s">
        <v>2247</v>
      </c>
      <c r="E531" s="398" t="s">
        <v>1658</v>
      </c>
      <c r="F531" s="398" t="s">
        <v>2207</v>
      </c>
      <c r="G531" s="398"/>
      <c r="H531" s="398" t="s">
        <v>281</v>
      </c>
      <c r="I531" s="401"/>
      <c r="J531" s="131" t="str">
        <f t="shared" si="8"/>
        <v>13</v>
      </c>
    </row>
    <row r="532" spans="1:10" s="114" customFormat="1" ht="24" hidden="1" customHeight="1">
      <c r="A532" s="398">
        <v>25</v>
      </c>
      <c r="B532" s="132" t="s">
        <v>2248</v>
      </c>
      <c r="C532" s="439" t="s">
        <v>1120</v>
      </c>
      <c r="D532" s="440" t="s">
        <v>217</v>
      </c>
      <c r="E532" s="398" t="s">
        <v>2249</v>
      </c>
      <c r="F532" s="398" t="s">
        <v>2207</v>
      </c>
      <c r="G532" s="398"/>
      <c r="H532" s="398" t="s">
        <v>281</v>
      </c>
      <c r="I532" s="401"/>
      <c r="J532" s="131" t="str">
        <f t="shared" si="8"/>
        <v>13</v>
      </c>
    </row>
    <row r="533" spans="1:10" s="115" customFormat="1" ht="24" hidden="1" customHeight="1">
      <c r="A533" s="398">
        <v>26</v>
      </c>
      <c r="B533" s="132" t="s">
        <v>2250</v>
      </c>
      <c r="C533" s="439" t="s">
        <v>1999</v>
      </c>
      <c r="D533" s="440" t="s">
        <v>993</v>
      </c>
      <c r="E533" s="398" t="s">
        <v>2251</v>
      </c>
      <c r="F533" s="398" t="s">
        <v>2207</v>
      </c>
      <c r="G533" s="398"/>
      <c r="H533" s="398" t="s">
        <v>281</v>
      </c>
      <c r="I533" s="401" t="s">
        <v>2004</v>
      </c>
      <c r="J533" s="131" t="str">
        <f t="shared" si="8"/>
        <v>13</v>
      </c>
    </row>
    <row r="534" spans="1:10" s="115" customFormat="1" ht="24" hidden="1" customHeight="1">
      <c r="A534" s="398">
        <v>27</v>
      </c>
      <c r="B534" s="132" t="s">
        <v>2252</v>
      </c>
      <c r="C534" s="439" t="s">
        <v>2253</v>
      </c>
      <c r="D534" s="440" t="s">
        <v>347</v>
      </c>
      <c r="E534" s="398" t="s">
        <v>1321</v>
      </c>
      <c r="F534" s="398" t="s">
        <v>2207</v>
      </c>
      <c r="G534" s="398"/>
      <c r="H534" s="398" t="s">
        <v>486</v>
      </c>
      <c r="I534" s="401"/>
      <c r="J534" s="131" t="str">
        <f t="shared" si="8"/>
        <v>13</v>
      </c>
    </row>
    <row r="535" spans="1:10" s="114" customFormat="1" ht="24" hidden="1" customHeight="1">
      <c r="A535" s="398">
        <v>28</v>
      </c>
      <c r="B535" s="132" t="s">
        <v>2254</v>
      </c>
      <c r="C535" s="439" t="s">
        <v>198</v>
      </c>
      <c r="D535" s="440" t="s">
        <v>221</v>
      </c>
      <c r="E535" s="398" t="s">
        <v>2255</v>
      </c>
      <c r="F535" s="398" t="s">
        <v>2207</v>
      </c>
      <c r="G535" s="398"/>
      <c r="H535" s="398" t="s">
        <v>281</v>
      </c>
      <c r="I535" s="401"/>
      <c r="J535" s="131" t="str">
        <f t="shared" si="8"/>
        <v>13</v>
      </c>
    </row>
    <row r="536" spans="1:10" s="115" customFormat="1" ht="24" hidden="1" customHeight="1">
      <c r="A536" s="398">
        <v>29</v>
      </c>
      <c r="B536" s="132" t="s">
        <v>2256</v>
      </c>
      <c r="C536" s="439" t="s">
        <v>2257</v>
      </c>
      <c r="D536" s="440" t="s">
        <v>223</v>
      </c>
      <c r="E536" s="398" t="s">
        <v>453</v>
      </c>
      <c r="F536" s="398" t="s">
        <v>2207</v>
      </c>
      <c r="G536" s="398"/>
      <c r="H536" s="398" t="s">
        <v>281</v>
      </c>
      <c r="I536" s="401" t="s">
        <v>2004</v>
      </c>
      <c r="J536" s="131" t="str">
        <f t="shared" si="8"/>
        <v>13</v>
      </c>
    </row>
    <row r="537" spans="1:10" s="114" customFormat="1" ht="24" hidden="1" customHeight="1">
      <c r="A537" s="398">
        <v>30</v>
      </c>
      <c r="B537" s="132" t="s">
        <v>2258</v>
      </c>
      <c r="C537" s="439" t="s">
        <v>201</v>
      </c>
      <c r="D537" s="440" t="s">
        <v>1140</v>
      </c>
      <c r="E537" s="398" t="s">
        <v>2259</v>
      </c>
      <c r="F537" s="398" t="s">
        <v>2207</v>
      </c>
      <c r="G537" s="398"/>
      <c r="H537" s="398" t="s">
        <v>281</v>
      </c>
      <c r="I537" s="401" t="s">
        <v>2004</v>
      </c>
      <c r="J537" s="131" t="str">
        <f t="shared" si="8"/>
        <v>13</v>
      </c>
    </row>
    <row r="538" spans="1:10" s="114" customFormat="1" ht="24" hidden="1" customHeight="1">
      <c r="A538" s="398">
        <v>31</v>
      </c>
      <c r="B538" s="132" t="s">
        <v>2260</v>
      </c>
      <c r="C538" s="439" t="s">
        <v>201</v>
      </c>
      <c r="D538" s="440" t="s">
        <v>973</v>
      </c>
      <c r="E538" s="398" t="s">
        <v>1411</v>
      </c>
      <c r="F538" s="398" t="s">
        <v>2207</v>
      </c>
      <c r="G538" s="398"/>
      <c r="H538" s="398" t="s">
        <v>281</v>
      </c>
      <c r="I538" s="401"/>
      <c r="J538" s="131" t="str">
        <f t="shared" si="8"/>
        <v>13</v>
      </c>
    </row>
    <row r="539" spans="1:10" s="114" customFormat="1" ht="24" hidden="1" customHeight="1">
      <c r="A539" s="398">
        <v>32</v>
      </c>
      <c r="B539" s="132" t="s">
        <v>967</v>
      </c>
      <c r="C539" s="439" t="s">
        <v>968</v>
      </c>
      <c r="D539" s="440" t="s">
        <v>225</v>
      </c>
      <c r="E539" s="398" t="s">
        <v>1266</v>
      </c>
      <c r="F539" s="398" t="s">
        <v>2207</v>
      </c>
      <c r="G539" s="400" t="s">
        <v>325</v>
      </c>
      <c r="H539" s="398" t="s">
        <v>281</v>
      </c>
      <c r="I539" s="411"/>
      <c r="J539" s="131" t="str">
        <f t="shared" si="8"/>
        <v>13</v>
      </c>
    </row>
    <row r="540" spans="1:10" s="114" customFormat="1" ht="24" hidden="1" customHeight="1">
      <c r="A540" s="398">
        <v>33</v>
      </c>
      <c r="B540" s="132" t="s">
        <v>2261</v>
      </c>
      <c r="C540" s="439" t="s">
        <v>2262</v>
      </c>
      <c r="D540" s="440" t="s">
        <v>2095</v>
      </c>
      <c r="E540" s="398" t="s">
        <v>2263</v>
      </c>
      <c r="F540" s="398" t="s">
        <v>2207</v>
      </c>
      <c r="G540" s="398"/>
      <c r="H540" s="398" t="s">
        <v>281</v>
      </c>
      <c r="I540" s="401" t="s">
        <v>151</v>
      </c>
      <c r="J540" s="131" t="str">
        <f t="shared" si="8"/>
        <v>13</v>
      </c>
    </row>
    <row r="541" spans="1:10" s="114" customFormat="1" ht="24" hidden="1" customHeight="1">
      <c r="A541" s="398">
        <v>34</v>
      </c>
      <c r="B541" s="132" t="s">
        <v>2267</v>
      </c>
      <c r="C541" s="439" t="s">
        <v>2268</v>
      </c>
      <c r="D541" s="440" t="s">
        <v>446</v>
      </c>
      <c r="E541" s="398" t="s">
        <v>981</v>
      </c>
      <c r="F541" s="398" t="s">
        <v>2207</v>
      </c>
      <c r="G541" s="398"/>
      <c r="H541" s="398" t="s">
        <v>281</v>
      </c>
      <c r="I541" s="401" t="s">
        <v>172</v>
      </c>
      <c r="J541" s="131" t="str">
        <f t="shared" si="8"/>
        <v>13</v>
      </c>
    </row>
    <row r="542" spans="1:10" s="114" customFormat="1" ht="24" hidden="1" customHeight="1">
      <c r="A542" s="398">
        <v>35</v>
      </c>
      <c r="B542" s="132" t="s">
        <v>2264</v>
      </c>
      <c r="C542" s="439" t="s">
        <v>2265</v>
      </c>
      <c r="D542" s="440" t="s">
        <v>352</v>
      </c>
      <c r="E542" s="398" t="s">
        <v>2266</v>
      </c>
      <c r="F542" s="398" t="s">
        <v>2207</v>
      </c>
      <c r="G542" s="398"/>
      <c r="H542" s="398" t="s">
        <v>281</v>
      </c>
      <c r="I542" s="401"/>
      <c r="J542" s="131" t="str">
        <f t="shared" si="8"/>
        <v>13</v>
      </c>
    </row>
    <row r="543" spans="1:10" s="114" customFormat="1" ht="24" hidden="1" customHeight="1">
      <c r="A543" s="398">
        <v>36</v>
      </c>
      <c r="B543" s="132" t="s">
        <v>2269</v>
      </c>
      <c r="C543" s="439" t="s">
        <v>1642</v>
      </c>
      <c r="D543" s="440" t="s">
        <v>2270</v>
      </c>
      <c r="E543" s="398" t="s">
        <v>2271</v>
      </c>
      <c r="F543" s="398" t="s">
        <v>2207</v>
      </c>
      <c r="G543" s="398"/>
      <c r="H543" s="398" t="s">
        <v>281</v>
      </c>
      <c r="I543" s="401"/>
      <c r="J543" s="131" t="str">
        <f t="shared" si="8"/>
        <v>13</v>
      </c>
    </row>
    <row r="544" spans="1:10" s="114" customFormat="1" ht="24" hidden="1" customHeight="1">
      <c r="A544" s="398">
        <v>37</v>
      </c>
      <c r="B544" s="132" t="s">
        <v>2272</v>
      </c>
      <c r="C544" s="439" t="s">
        <v>371</v>
      </c>
      <c r="D544" s="440" t="s">
        <v>2273</v>
      </c>
      <c r="E544" s="398" t="s">
        <v>2211</v>
      </c>
      <c r="F544" s="398" t="s">
        <v>2207</v>
      </c>
      <c r="G544" s="398"/>
      <c r="H544" s="398" t="s">
        <v>281</v>
      </c>
      <c r="I544" s="401"/>
      <c r="J544" s="131" t="str">
        <f t="shared" si="8"/>
        <v>13</v>
      </c>
    </row>
    <row r="545" spans="1:10" s="114" customFormat="1" ht="24" hidden="1" customHeight="1">
      <c r="A545" s="398">
        <v>38</v>
      </c>
      <c r="B545" s="132" t="s">
        <v>2274</v>
      </c>
      <c r="C545" s="439" t="s">
        <v>452</v>
      </c>
      <c r="D545" s="440" t="s">
        <v>230</v>
      </c>
      <c r="E545" s="398" t="s">
        <v>2275</v>
      </c>
      <c r="F545" s="398" t="s">
        <v>2207</v>
      </c>
      <c r="G545" s="398"/>
      <c r="H545" s="398" t="s">
        <v>281</v>
      </c>
      <c r="I545" s="401"/>
      <c r="J545" s="131" t="str">
        <f t="shared" si="8"/>
        <v>13</v>
      </c>
    </row>
    <row r="546" spans="1:10" s="114" customFormat="1" ht="24" hidden="1" customHeight="1">
      <c r="A546" s="398">
        <v>39</v>
      </c>
      <c r="B546" s="132" t="s">
        <v>2353</v>
      </c>
      <c r="C546" s="439" t="s">
        <v>209</v>
      </c>
      <c r="D546" s="440" t="s">
        <v>2354</v>
      </c>
      <c r="E546" s="398" t="s">
        <v>2355</v>
      </c>
      <c r="F546" s="398" t="s">
        <v>2207</v>
      </c>
      <c r="G546" s="398"/>
      <c r="H546" s="398" t="s">
        <v>281</v>
      </c>
      <c r="I546" s="401" t="s">
        <v>2642</v>
      </c>
      <c r="J546" s="131" t="str">
        <f t="shared" si="8"/>
        <v>13</v>
      </c>
    </row>
    <row r="547" spans="1:10" s="114" customFormat="1" ht="24" hidden="1" customHeight="1">
      <c r="A547" s="398">
        <v>40</v>
      </c>
      <c r="B547" s="132" t="s">
        <v>2356</v>
      </c>
      <c r="C547" s="439" t="s">
        <v>1141</v>
      </c>
      <c r="D547" s="440" t="s">
        <v>354</v>
      </c>
      <c r="E547" s="398" t="s">
        <v>2357</v>
      </c>
      <c r="F547" s="398" t="s">
        <v>2207</v>
      </c>
      <c r="G547" s="398"/>
      <c r="H547" s="398" t="s">
        <v>281</v>
      </c>
      <c r="I547" s="401" t="s">
        <v>2666</v>
      </c>
      <c r="J547" s="131" t="str">
        <f t="shared" si="8"/>
        <v>13</v>
      </c>
    </row>
    <row r="548" spans="1:10" s="114" customFormat="1" ht="24" hidden="1" customHeight="1">
      <c r="A548" s="398">
        <v>41</v>
      </c>
      <c r="B548" s="132" t="s">
        <v>2358</v>
      </c>
      <c r="C548" s="439" t="s">
        <v>2359</v>
      </c>
      <c r="D548" s="440" t="s">
        <v>354</v>
      </c>
      <c r="E548" s="398" t="s">
        <v>402</v>
      </c>
      <c r="F548" s="398" t="s">
        <v>2207</v>
      </c>
      <c r="G548" s="398"/>
      <c r="H548" s="398" t="s">
        <v>281</v>
      </c>
      <c r="I548" s="401" t="s">
        <v>2655</v>
      </c>
      <c r="J548" s="131" t="str">
        <f t="shared" si="8"/>
        <v>13</v>
      </c>
    </row>
    <row r="549" spans="1:10" s="114" customFormat="1" ht="24" hidden="1" customHeight="1">
      <c r="A549" s="398">
        <v>42</v>
      </c>
      <c r="B549" s="132" t="s">
        <v>2276</v>
      </c>
      <c r="C549" s="439" t="s">
        <v>212</v>
      </c>
      <c r="D549" s="440" t="s">
        <v>354</v>
      </c>
      <c r="E549" s="398" t="s">
        <v>2277</v>
      </c>
      <c r="F549" s="398" t="s">
        <v>2207</v>
      </c>
      <c r="G549" s="398"/>
      <c r="H549" s="398" t="s">
        <v>281</v>
      </c>
      <c r="I549" s="401"/>
      <c r="J549" s="131" t="str">
        <f t="shared" si="8"/>
        <v>13</v>
      </c>
    </row>
    <row r="550" spans="1:10" s="114" customFormat="1" ht="24" hidden="1" customHeight="1">
      <c r="A550" s="398">
        <v>43</v>
      </c>
      <c r="B550" s="132" t="s">
        <v>2278</v>
      </c>
      <c r="C550" s="439" t="s">
        <v>2279</v>
      </c>
      <c r="D550" s="440" t="s">
        <v>231</v>
      </c>
      <c r="E550" s="398" t="s">
        <v>2280</v>
      </c>
      <c r="F550" s="398" t="s">
        <v>2207</v>
      </c>
      <c r="G550" s="398"/>
      <c r="H550" s="398" t="s">
        <v>281</v>
      </c>
      <c r="I550" s="401"/>
      <c r="J550" s="131" t="str">
        <f t="shared" si="8"/>
        <v>13</v>
      </c>
    </row>
    <row r="551" spans="1:10" s="114" customFormat="1" ht="24" hidden="1" customHeight="1">
      <c r="A551" s="398">
        <v>44</v>
      </c>
      <c r="B551" s="132" t="s">
        <v>2360</v>
      </c>
      <c r="C551" s="439" t="s">
        <v>2361</v>
      </c>
      <c r="D551" s="440" t="s">
        <v>1142</v>
      </c>
      <c r="E551" s="398" t="s">
        <v>2362</v>
      </c>
      <c r="F551" s="398" t="s">
        <v>2207</v>
      </c>
      <c r="G551" s="398"/>
      <c r="H551" s="398" t="s">
        <v>281</v>
      </c>
      <c r="I551" s="401" t="s">
        <v>2666</v>
      </c>
      <c r="J551" s="131" t="str">
        <f t="shared" si="8"/>
        <v>13</v>
      </c>
    </row>
    <row r="552" spans="1:10" s="114" customFormat="1" ht="24" hidden="1" customHeight="1">
      <c r="A552" s="398">
        <v>45</v>
      </c>
      <c r="B552" s="132" t="s">
        <v>2363</v>
      </c>
      <c r="C552" s="439" t="s">
        <v>367</v>
      </c>
      <c r="D552" s="440" t="s">
        <v>358</v>
      </c>
      <c r="E552" s="398" t="s">
        <v>982</v>
      </c>
      <c r="F552" s="398" t="s">
        <v>2207</v>
      </c>
      <c r="G552" s="398"/>
      <c r="H552" s="398" t="s">
        <v>281</v>
      </c>
      <c r="I552" s="401" t="s">
        <v>2642</v>
      </c>
      <c r="J552" s="131" t="str">
        <f t="shared" si="8"/>
        <v>13</v>
      </c>
    </row>
    <row r="553" spans="1:10" s="114" customFormat="1" ht="24" hidden="1" customHeight="1">
      <c r="A553" s="398">
        <v>46</v>
      </c>
      <c r="B553" s="132" t="s">
        <v>2281</v>
      </c>
      <c r="C553" s="439" t="s">
        <v>2075</v>
      </c>
      <c r="D553" s="440" t="s">
        <v>420</v>
      </c>
      <c r="E553" s="398" t="s">
        <v>1121</v>
      </c>
      <c r="F553" s="398" t="s">
        <v>2207</v>
      </c>
      <c r="G553" s="398"/>
      <c r="H553" s="398" t="s">
        <v>281</v>
      </c>
      <c r="I553" s="401"/>
      <c r="J553" s="131" t="str">
        <f t="shared" si="8"/>
        <v>13</v>
      </c>
    </row>
    <row r="554" spans="1:10" s="114" customFormat="1" ht="24" hidden="1" customHeight="1">
      <c r="A554" s="398">
        <v>47</v>
      </c>
      <c r="B554" s="132" t="s">
        <v>2364</v>
      </c>
      <c r="C554" s="439" t="s">
        <v>421</v>
      </c>
      <c r="D554" s="440" t="s">
        <v>233</v>
      </c>
      <c r="E554" s="398" t="s">
        <v>2365</v>
      </c>
      <c r="F554" s="398" t="s">
        <v>2207</v>
      </c>
      <c r="G554" s="398"/>
      <c r="H554" s="398" t="s">
        <v>281</v>
      </c>
      <c r="I554" s="401" t="s">
        <v>2642</v>
      </c>
      <c r="J554" s="131" t="str">
        <f t="shared" si="8"/>
        <v>13</v>
      </c>
    </row>
    <row r="555" spans="1:10" s="114" customFormat="1" ht="24" hidden="1" customHeight="1">
      <c r="A555" s="398">
        <v>48</v>
      </c>
      <c r="B555" s="132" t="s">
        <v>2366</v>
      </c>
      <c r="C555" s="439" t="s">
        <v>2367</v>
      </c>
      <c r="D555" s="440" t="s">
        <v>235</v>
      </c>
      <c r="E555" s="398" t="s">
        <v>1643</v>
      </c>
      <c r="F555" s="398" t="s">
        <v>2207</v>
      </c>
      <c r="G555" s="398"/>
      <c r="H555" s="398" t="s">
        <v>486</v>
      </c>
      <c r="I555" s="401" t="s">
        <v>2642</v>
      </c>
      <c r="J555" s="131" t="str">
        <f t="shared" si="8"/>
        <v>13</v>
      </c>
    </row>
    <row r="556" spans="1:10" s="114" customFormat="1" ht="24" hidden="1" customHeight="1">
      <c r="A556" s="398">
        <v>49</v>
      </c>
      <c r="B556" s="132" t="s">
        <v>2282</v>
      </c>
      <c r="C556" s="439" t="s">
        <v>447</v>
      </c>
      <c r="D556" s="440" t="s">
        <v>235</v>
      </c>
      <c r="E556" s="398" t="s">
        <v>1433</v>
      </c>
      <c r="F556" s="398" t="s">
        <v>2207</v>
      </c>
      <c r="G556" s="398"/>
      <c r="H556" s="398" t="s">
        <v>281</v>
      </c>
      <c r="I556" s="401"/>
      <c r="J556" s="131" t="str">
        <f t="shared" si="8"/>
        <v>13</v>
      </c>
    </row>
    <row r="557" spans="1:10" s="114" customFormat="1" ht="24" hidden="1" customHeight="1">
      <c r="A557" s="398">
        <v>50</v>
      </c>
      <c r="B557" s="132" t="s">
        <v>2368</v>
      </c>
      <c r="C557" s="439" t="s">
        <v>2369</v>
      </c>
      <c r="D557" s="440" t="s">
        <v>236</v>
      </c>
      <c r="E557" s="398" t="s">
        <v>1148</v>
      </c>
      <c r="F557" s="398" t="s">
        <v>2207</v>
      </c>
      <c r="G557" s="398"/>
      <c r="H557" s="398" t="s">
        <v>486</v>
      </c>
      <c r="I557" s="401" t="s">
        <v>2666</v>
      </c>
      <c r="J557" s="131" t="str">
        <f t="shared" si="8"/>
        <v>13</v>
      </c>
    </row>
    <row r="558" spans="1:10" s="115" customFormat="1" ht="24" hidden="1" customHeight="1">
      <c r="A558" s="398">
        <v>51</v>
      </c>
      <c r="B558" s="132" t="s">
        <v>2283</v>
      </c>
      <c r="C558" s="439" t="s">
        <v>2284</v>
      </c>
      <c r="D558" s="440" t="s">
        <v>1040</v>
      </c>
      <c r="E558" s="398" t="s">
        <v>1707</v>
      </c>
      <c r="F558" s="398" t="s">
        <v>2207</v>
      </c>
      <c r="G558" s="398"/>
      <c r="H558" s="398" t="s">
        <v>281</v>
      </c>
      <c r="I558" s="401"/>
      <c r="J558" s="131" t="str">
        <f t="shared" si="8"/>
        <v>13</v>
      </c>
    </row>
    <row r="559" spans="1:10" s="114" customFormat="1" ht="24" hidden="1" customHeight="1">
      <c r="A559" s="398">
        <v>52</v>
      </c>
      <c r="B559" s="132" t="s">
        <v>2370</v>
      </c>
      <c r="C559" s="439" t="s">
        <v>2371</v>
      </c>
      <c r="D559" s="440" t="s">
        <v>473</v>
      </c>
      <c r="E559" s="398" t="s">
        <v>992</v>
      </c>
      <c r="F559" s="398" t="s">
        <v>2207</v>
      </c>
      <c r="G559" s="400"/>
      <c r="H559" s="398" t="s">
        <v>281</v>
      </c>
      <c r="I559" s="401" t="s">
        <v>2642</v>
      </c>
      <c r="J559" s="131" t="str">
        <f t="shared" si="8"/>
        <v>13</v>
      </c>
    </row>
    <row r="560" spans="1:10" s="114" customFormat="1" ht="24" hidden="1" customHeight="1">
      <c r="A560" s="398">
        <v>53</v>
      </c>
      <c r="B560" s="132" t="s">
        <v>2285</v>
      </c>
      <c r="C560" s="439" t="s">
        <v>342</v>
      </c>
      <c r="D560" s="440" t="s">
        <v>237</v>
      </c>
      <c r="E560" s="398" t="s">
        <v>1275</v>
      </c>
      <c r="F560" s="398" t="s">
        <v>2207</v>
      </c>
      <c r="G560" s="398"/>
      <c r="H560" s="398" t="s">
        <v>281</v>
      </c>
      <c r="I560" s="401"/>
      <c r="J560" s="131" t="str">
        <f t="shared" si="8"/>
        <v>13</v>
      </c>
    </row>
    <row r="561" spans="1:10" s="114" customFormat="1" ht="24" hidden="1" customHeight="1">
      <c r="A561" s="398">
        <v>54</v>
      </c>
      <c r="B561" s="132" t="s">
        <v>2372</v>
      </c>
      <c r="C561" s="439" t="s">
        <v>2373</v>
      </c>
      <c r="D561" s="440" t="s">
        <v>237</v>
      </c>
      <c r="E561" s="398" t="s">
        <v>464</v>
      </c>
      <c r="F561" s="398" t="s">
        <v>2207</v>
      </c>
      <c r="G561" s="398"/>
      <c r="H561" s="398" t="s">
        <v>281</v>
      </c>
      <c r="I561" s="401" t="s">
        <v>2642</v>
      </c>
      <c r="J561" s="131" t="str">
        <f t="shared" si="8"/>
        <v>13</v>
      </c>
    </row>
    <row r="562" spans="1:10" s="114" customFormat="1" ht="24" hidden="1" customHeight="1" thickBot="1">
      <c r="A562" s="406">
        <v>55</v>
      </c>
      <c r="B562" s="132" t="s">
        <v>2374</v>
      </c>
      <c r="C562" s="441" t="s">
        <v>2375</v>
      </c>
      <c r="D562" s="442" t="s">
        <v>1017</v>
      </c>
      <c r="E562" s="406" t="s">
        <v>2376</v>
      </c>
      <c r="F562" s="406" t="s">
        <v>2207</v>
      </c>
      <c r="G562" s="406"/>
      <c r="H562" s="406" t="s">
        <v>281</v>
      </c>
      <c r="I562" s="417" t="s">
        <v>2666</v>
      </c>
      <c r="J562" s="131" t="str">
        <f t="shared" si="8"/>
        <v>13</v>
      </c>
    </row>
    <row r="563" spans="1:10" s="114" customFormat="1" ht="24" hidden="1" customHeight="1">
      <c r="A563" s="408">
        <v>1</v>
      </c>
      <c r="B563" s="132" t="s">
        <v>2464</v>
      </c>
      <c r="C563" s="443" t="s">
        <v>2465</v>
      </c>
      <c r="D563" s="444" t="s">
        <v>1090</v>
      </c>
      <c r="E563" s="408" t="s">
        <v>1123</v>
      </c>
      <c r="F563" s="409" t="s">
        <v>2379</v>
      </c>
      <c r="G563" s="408"/>
      <c r="H563" s="408" t="s">
        <v>281</v>
      </c>
      <c r="I563" s="410" t="s">
        <v>2667</v>
      </c>
      <c r="J563" s="131" t="str">
        <f t="shared" si="8"/>
        <v>13</v>
      </c>
    </row>
    <row r="564" spans="1:10" s="114" customFormat="1" ht="24" hidden="1" customHeight="1">
      <c r="A564" s="398">
        <v>2</v>
      </c>
      <c r="B564" s="132" t="s">
        <v>2460</v>
      </c>
      <c r="C564" s="439" t="s">
        <v>2461</v>
      </c>
      <c r="D564" s="440" t="s">
        <v>985</v>
      </c>
      <c r="E564" s="398" t="s">
        <v>2462</v>
      </c>
      <c r="F564" s="398" t="s">
        <v>2379</v>
      </c>
      <c r="G564" s="398"/>
      <c r="H564" s="398" t="s">
        <v>281</v>
      </c>
      <c r="I564" s="401" t="s">
        <v>2667</v>
      </c>
      <c r="J564" s="131" t="str">
        <f t="shared" si="8"/>
        <v>13</v>
      </c>
    </row>
    <row r="565" spans="1:10" s="114" customFormat="1" ht="24" hidden="1" customHeight="1">
      <c r="A565" s="398">
        <v>3</v>
      </c>
      <c r="B565" s="132" t="s">
        <v>2377</v>
      </c>
      <c r="C565" s="439" t="s">
        <v>2378</v>
      </c>
      <c r="D565" s="440" t="s">
        <v>425</v>
      </c>
      <c r="E565" s="398" t="s">
        <v>2049</v>
      </c>
      <c r="F565" s="398" t="s">
        <v>2379</v>
      </c>
      <c r="G565" s="398"/>
      <c r="H565" s="398" t="s">
        <v>281</v>
      </c>
      <c r="I565" s="401"/>
      <c r="J565" s="131" t="str">
        <f t="shared" si="8"/>
        <v>13</v>
      </c>
    </row>
    <row r="566" spans="1:10" s="114" customFormat="1" ht="24" hidden="1" customHeight="1">
      <c r="A566" s="398">
        <v>4</v>
      </c>
      <c r="B566" s="132" t="s">
        <v>2466</v>
      </c>
      <c r="C566" s="439" t="s">
        <v>380</v>
      </c>
      <c r="D566" s="440" t="s">
        <v>362</v>
      </c>
      <c r="E566" s="398" t="s">
        <v>2467</v>
      </c>
      <c r="F566" s="398" t="s">
        <v>2379</v>
      </c>
      <c r="G566" s="398"/>
      <c r="H566" s="398" t="s">
        <v>281</v>
      </c>
      <c r="I566" s="401" t="s">
        <v>2667</v>
      </c>
      <c r="J566" s="131" t="str">
        <f t="shared" si="8"/>
        <v>13</v>
      </c>
    </row>
    <row r="567" spans="1:10" s="114" customFormat="1" ht="24" hidden="1" customHeight="1">
      <c r="A567" s="398">
        <v>5</v>
      </c>
      <c r="B567" s="132" t="s">
        <v>2380</v>
      </c>
      <c r="C567" s="439" t="s">
        <v>2381</v>
      </c>
      <c r="D567" s="440" t="s">
        <v>362</v>
      </c>
      <c r="E567" s="398" t="s">
        <v>2382</v>
      </c>
      <c r="F567" s="398" t="s">
        <v>2379</v>
      </c>
      <c r="G567" s="398"/>
      <c r="H567" s="398" t="s">
        <v>281</v>
      </c>
      <c r="I567" s="401" t="s">
        <v>2383</v>
      </c>
      <c r="J567" s="131" t="str">
        <f t="shared" si="8"/>
        <v>13</v>
      </c>
    </row>
    <row r="568" spans="1:10" s="114" customFormat="1" ht="24" hidden="1" customHeight="1">
      <c r="A568" s="398">
        <v>6</v>
      </c>
      <c r="B568" s="132" t="s">
        <v>2384</v>
      </c>
      <c r="C568" s="439" t="s">
        <v>2385</v>
      </c>
      <c r="D568" s="440" t="s">
        <v>1149</v>
      </c>
      <c r="E568" s="398" t="s">
        <v>1648</v>
      </c>
      <c r="F568" s="398" t="s">
        <v>2379</v>
      </c>
      <c r="G568" s="398"/>
      <c r="H568" s="398" t="s">
        <v>281</v>
      </c>
      <c r="I568" s="401"/>
      <c r="J568" s="131" t="str">
        <f t="shared" si="8"/>
        <v>13</v>
      </c>
    </row>
    <row r="569" spans="1:10" s="114" customFormat="1" ht="24" hidden="1" customHeight="1">
      <c r="A569" s="398">
        <v>7</v>
      </c>
      <c r="B569" s="132" t="s">
        <v>2468</v>
      </c>
      <c r="C569" s="439" t="s">
        <v>2469</v>
      </c>
      <c r="D569" s="440" t="s">
        <v>197</v>
      </c>
      <c r="E569" s="398" t="s">
        <v>2470</v>
      </c>
      <c r="F569" s="398" t="s">
        <v>2379</v>
      </c>
      <c r="G569" s="398"/>
      <c r="H569" s="398" t="s">
        <v>281</v>
      </c>
      <c r="I569" s="401" t="s">
        <v>2668</v>
      </c>
      <c r="J569" s="131" t="str">
        <f t="shared" si="8"/>
        <v>13</v>
      </c>
    </row>
    <row r="570" spans="1:10" s="114" customFormat="1" ht="24" hidden="1" customHeight="1">
      <c r="A570" s="398">
        <v>8</v>
      </c>
      <c r="B570" s="132" t="s">
        <v>2386</v>
      </c>
      <c r="C570" s="439" t="s">
        <v>2387</v>
      </c>
      <c r="D570" s="440" t="s">
        <v>197</v>
      </c>
      <c r="E570" s="398" t="s">
        <v>2388</v>
      </c>
      <c r="F570" s="398" t="s">
        <v>2379</v>
      </c>
      <c r="G570" s="398"/>
      <c r="H570" s="398" t="s">
        <v>281</v>
      </c>
      <c r="I570" s="401" t="s">
        <v>2383</v>
      </c>
      <c r="J570" s="131" t="str">
        <f t="shared" si="8"/>
        <v>13</v>
      </c>
    </row>
    <row r="571" spans="1:10" s="114" customFormat="1" ht="24" hidden="1" customHeight="1">
      <c r="A571" s="398">
        <v>9</v>
      </c>
      <c r="B571" s="132" t="s">
        <v>2471</v>
      </c>
      <c r="C571" s="439" t="s">
        <v>356</v>
      </c>
      <c r="D571" s="440" t="s">
        <v>2472</v>
      </c>
      <c r="E571" s="398" t="s">
        <v>1166</v>
      </c>
      <c r="F571" s="398" t="s">
        <v>2379</v>
      </c>
      <c r="G571" s="398"/>
      <c r="H571" s="398" t="s">
        <v>281</v>
      </c>
      <c r="I571" s="401" t="s">
        <v>2667</v>
      </c>
      <c r="J571" s="131" t="str">
        <f t="shared" si="8"/>
        <v>13</v>
      </c>
    </row>
    <row r="572" spans="1:10" s="114" customFormat="1" ht="24" hidden="1" customHeight="1">
      <c r="A572" s="398">
        <v>10</v>
      </c>
      <c r="B572" s="132" t="s">
        <v>2391</v>
      </c>
      <c r="C572" s="439" t="s">
        <v>2392</v>
      </c>
      <c r="D572" s="440" t="s">
        <v>364</v>
      </c>
      <c r="E572" s="398" t="s">
        <v>2393</v>
      </c>
      <c r="F572" s="398" t="s">
        <v>2379</v>
      </c>
      <c r="G572" s="400"/>
      <c r="H572" s="398" t="s">
        <v>281</v>
      </c>
      <c r="I572" s="401"/>
      <c r="J572" s="131" t="str">
        <f t="shared" si="8"/>
        <v>13</v>
      </c>
    </row>
    <row r="573" spans="1:10" s="114" customFormat="1" ht="24" hidden="1" customHeight="1">
      <c r="A573" s="398">
        <v>11</v>
      </c>
      <c r="B573" s="132" t="s">
        <v>2477</v>
      </c>
      <c r="C573" s="439" t="s">
        <v>209</v>
      </c>
      <c r="D573" s="440" t="s">
        <v>364</v>
      </c>
      <c r="E573" s="398" t="s">
        <v>450</v>
      </c>
      <c r="F573" s="398" t="s">
        <v>2379</v>
      </c>
      <c r="G573" s="398"/>
      <c r="H573" s="398" t="s">
        <v>281</v>
      </c>
      <c r="I573" s="401" t="s">
        <v>2667</v>
      </c>
      <c r="J573" s="131" t="str">
        <f t="shared" si="8"/>
        <v>13</v>
      </c>
    </row>
    <row r="574" spans="1:10" s="114" customFormat="1" ht="24" hidden="1" customHeight="1">
      <c r="A574" s="398">
        <v>12</v>
      </c>
      <c r="B574" s="132" t="s">
        <v>2394</v>
      </c>
      <c r="C574" s="439" t="s">
        <v>462</v>
      </c>
      <c r="D574" s="440" t="s">
        <v>291</v>
      </c>
      <c r="E574" s="398" t="s">
        <v>2395</v>
      </c>
      <c r="F574" s="398" t="s">
        <v>2379</v>
      </c>
      <c r="G574" s="400"/>
      <c r="H574" s="398" t="s">
        <v>281</v>
      </c>
      <c r="I574" s="401"/>
      <c r="J574" s="131" t="str">
        <f t="shared" si="8"/>
        <v>13</v>
      </c>
    </row>
    <row r="575" spans="1:10" s="114" customFormat="1" ht="24" hidden="1" customHeight="1">
      <c r="A575" s="398">
        <v>13</v>
      </c>
      <c r="B575" s="132" t="s">
        <v>2478</v>
      </c>
      <c r="C575" s="439" t="s">
        <v>201</v>
      </c>
      <c r="D575" s="440" t="s">
        <v>291</v>
      </c>
      <c r="E575" s="398" t="s">
        <v>450</v>
      </c>
      <c r="F575" s="398" t="s">
        <v>2379</v>
      </c>
      <c r="G575" s="398"/>
      <c r="H575" s="398" t="s">
        <v>281</v>
      </c>
      <c r="I575" s="401" t="s">
        <v>2667</v>
      </c>
      <c r="J575" s="131" t="str">
        <f t="shared" si="8"/>
        <v>13</v>
      </c>
    </row>
    <row r="576" spans="1:10" s="114" customFormat="1" ht="24" hidden="1" customHeight="1">
      <c r="A576" s="398">
        <v>14</v>
      </c>
      <c r="B576" s="132" t="s">
        <v>2473</v>
      </c>
      <c r="C576" s="439" t="s">
        <v>2474</v>
      </c>
      <c r="D576" s="440" t="s">
        <v>478</v>
      </c>
      <c r="E576" s="398" t="s">
        <v>1899</v>
      </c>
      <c r="F576" s="398" t="s">
        <v>2379</v>
      </c>
      <c r="G576" s="398"/>
      <c r="H576" s="398" t="s">
        <v>281</v>
      </c>
      <c r="I576" s="401" t="s">
        <v>2667</v>
      </c>
      <c r="J576" s="131" t="str">
        <f t="shared" si="8"/>
        <v>13</v>
      </c>
    </row>
    <row r="577" spans="1:10" s="114" customFormat="1" ht="24" hidden="1" customHeight="1">
      <c r="A577" s="398">
        <v>15</v>
      </c>
      <c r="B577" s="132" t="s">
        <v>2389</v>
      </c>
      <c r="C577" s="439" t="s">
        <v>2390</v>
      </c>
      <c r="D577" s="440" t="s">
        <v>478</v>
      </c>
      <c r="E577" s="398" t="s">
        <v>1433</v>
      </c>
      <c r="F577" s="398" t="s">
        <v>2379</v>
      </c>
      <c r="G577" s="398"/>
      <c r="H577" s="398" t="s">
        <v>281</v>
      </c>
      <c r="I577" s="401" t="s">
        <v>2383</v>
      </c>
      <c r="J577" s="131" t="str">
        <f t="shared" si="8"/>
        <v>13</v>
      </c>
    </row>
    <row r="578" spans="1:10" s="114" customFormat="1" ht="24" hidden="1" customHeight="1">
      <c r="A578" s="398">
        <v>16</v>
      </c>
      <c r="B578" s="132" t="s">
        <v>2475</v>
      </c>
      <c r="C578" s="439" t="s">
        <v>2476</v>
      </c>
      <c r="D578" s="440" t="s">
        <v>287</v>
      </c>
      <c r="E578" s="398" t="s">
        <v>1766</v>
      </c>
      <c r="F578" s="398" t="s">
        <v>2379</v>
      </c>
      <c r="G578" s="398"/>
      <c r="H578" s="398" t="s">
        <v>281</v>
      </c>
      <c r="I578" s="401" t="s">
        <v>2667</v>
      </c>
      <c r="J578" s="131" t="str">
        <f t="shared" si="8"/>
        <v>13</v>
      </c>
    </row>
    <row r="579" spans="1:10" s="114" customFormat="1" ht="24" hidden="1" customHeight="1">
      <c r="A579" s="398">
        <v>17</v>
      </c>
      <c r="B579" s="132" t="s">
        <v>2396</v>
      </c>
      <c r="C579" s="439" t="s">
        <v>222</v>
      </c>
      <c r="D579" s="440" t="s">
        <v>202</v>
      </c>
      <c r="E579" s="398" t="s">
        <v>1556</v>
      </c>
      <c r="F579" s="398" t="s">
        <v>2379</v>
      </c>
      <c r="G579" s="398"/>
      <c r="H579" s="398" t="s">
        <v>486</v>
      </c>
      <c r="I579" s="401"/>
      <c r="J579" s="131" t="str">
        <f t="shared" ref="J579:J642" si="9">LEFT(F579,2)</f>
        <v>13</v>
      </c>
    </row>
    <row r="580" spans="1:10" s="114" customFormat="1" ht="24" hidden="1" customHeight="1">
      <c r="A580" s="398">
        <v>18</v>
      </c>
      <c r="B580" s="132" t="s">
        <v>2479</v>
      </c>
      <c r="C580" s="439" t="s">
        <v>2480</v>
      </c>
      <c r="D580" s="440" t="s">
        <v>1168</v>
      </c>
      <c r="E580" s="398" t="s">
        <v>1519</v>
      </c>
      <c r="F580" s="398" t="s">
        <v>2379</v>
      </c>
      <c r="G580" s="398"/>
      <c r="H580" s="398" t="s">
        <v>281</v>
      </c>
      <c r="I580" s="401" t="s">
        <v>2667</v>
      </c>
      <c r="J580" s="131" t="str">
        <f t="shared" si="9"/>
        <v>13</v>
      </c>
    </row>
    <row r="581" spans="1:10" s="114" customFormat="1" ht="24" hidden="1" customHeight="1">
      <c r="A581" s="398">
        <v>19</v>
      </c>
      <c r="B581" s="132" t="s">
        <v>2397</v>
      </c>
      <c r="C581" s="439" t="s">
        <v>203</v>
      </c>
      <c r="D581" s="440" t="s">
        <v>403</v>
      </c>
      <c r="E581" s="398" t="s">
        <v>412</v>
      </c>
      <c r="F581" s="398" t="s">
        <v>2379</v>
      </c>
      <c r="G581" s="398"/>
      <c r="H581" s="398" t="s">
        <v>281</v>
      </c>
      <c r="I581" s="401" t="s">
        <v>2383</v>
      </c>
      <c r="J581" s="131" t="str">
        <f t="shared" si="9"/>
        <v>13</v>
      </c>
    </row>
    <row r="582" spans="1:10" s="114" customFormat="1" ht="24" hidden="1" customHeight="1">
      <c r="A582" s="398">
        <v>20</v>
      </c>
      <c r="B582" s="132" t="s">
        <v>2481</v>
      </c>
      <c r="C582" s="439" t="s">
        <v>2482</v>
      </c>
      <c r="D582" s="440" t="s">
        <v>435</v>
      </c>
      <c r="E582" s="398" t="s">
        <v>1669</v>
      </c>
      <c r="F582" s="398" t="s">
        <v>2379</v>
      </c>
      <c r="G582" s="398"/>
      <c r="H582" s="398" t="s">
        <v>281</v>
      </c>
      <c r="I582" s="401" t="s">
        <v>2667</v>
      </c>
      <c r="J582" s="131" t="str">
        <f t="shared" si="9"/>
        <v>13</v>
      </c>
    </row>
    <row r="583" spans="1:10" s="114" customFormat="1" ht="24" hidden="1" customHeight="1">
      <c r="A583" s="398">
        <v>21</v>
      </c>
      <c r="B583" s="132" t="s">
        <v>2398</v>
      </c>
      <c r="C583" s="439" t="s">
        <v>346</v>
      </c>
      <c r="D583" s="440" t="s">
        <v>435</v>
      </c>
      <c r="E583" s="398" t="s">
        <v>2399</v>
      </c>
      <c r="F583" s="398" t="s">
        <v>2379</v>
      </c>
      <c r="G583" s="398"/>
      <c r="H583" s="398" t="s">
        <v>281</v>
      </c>
      <c r="I583" s="399"/>
      <c r="J583" s="131" t="str">
        <f t="shared" si="9"/>
        <v>13</v>
      </c>
    </row>
    <row r="584" spans="1:10" s="114" customFormat="1" ht="24" hidden="1" customHeight="1">
      <c r="A584" s="398">
        <v>22</v>
      </c>
      <c r="B584" s="132" t="s">
        <v>2483</v>
      </c>
      <c r="C584" s="439" t="s">
        <v>193</v>
      </c>
      <c r="D584" s="440" t="s">
        <v>2220</v>
      </c>
      <c r="E584" s="398" t="s">
        <v>1449</v>
      </c>
      <c r="F584" s="398" t="s">
        <v>2379</v>
      </c>
      <c r="G584" s="398"/>
      <c r="H584" s="398" t="s">
        <v>281</v>
      </c>
      <c r="I584" s="401" t="s">
        <v>2667</v>
      </c>
      <c r="J584" s="131" t="str">
        <f t="shared" si="9"/>
        <v>13</v>
      </c>
    </row>
    <row r="585" spans="1:10" s="114" customFormat="1" ht="24" hidden="1" customHeight="1">
      <c r="A585" s="398">
        <v>23</v>
      </c>
      <c r="B585" s="132" t="s">
        <v>2484</v>
      </c>
      <c r="C585" s="439" t="s">
        <v>2485</v>
      </c>
      <c r="D585" s="440" t="s">
        <v>1022</v>
      </c>
      <c r="E585" s="398" t="s">
        <v>2486</v>
      </c>
      <c r="F585" s="398" t="s">
        <v>2379</v>
      </c>
      <c r="G585" s="398"/>
      <c r="H585" s="398" t="s">
        <v>281</v>
      </c>
      <c r="I585" s="401" t="s">
        <v>2667</v>
      </c>
      <c r="J585" s="131" t="str">
        <f t="shared" si="9"/>
        <v>13</v>
      </c>
    </row>
    <row r="586" spans="1:10" s="114" customFormat="1" ht="24" hidden="1" customHeight="1">
      <c r="A586" s="398">
        <v>24</v>
      </c>
      <c r="B586" s="132" t="s">
        <v>2400</v>
      </c>
      <c r="C586" s="439" t="s">
        <v>2401</v>
      </c>
      <c r="D586" s="440" t="s">
        <v>366</v>
      </c>
      <c r="E586" s="398" t="s">
        <v>2402</v>
      </c>
      <c r="F586" s="398" t="s">
        <v>2379</v>
      </c>
      <c r="G586" s="401" t="s">
        <v>330</v>
      </c>
      <c r="H586" s="398" t="s">
        <v>281</v>
      </c>
      <c r="I586" s="401" t="s">
        <v>2383</v>
      </c>
      <c r="J586" s="131" t="str">
        <f t="shared" si="9"/>
        <v>13</v>
      </c>
    </row>
    <row r="587" spans="1:10" s="114" customFormat="1" ht="24" hidden="1" customHeight="1">
      <c r="A587" s="398">
        <v>25</v>
      </c>
      <c r="B587" s="132" t="s">
        <v>2403</v>
      </c>
      <c r="C587" s="439" t="s">
        <v>2404</v>
      </c>
      <c r="D587" s="440" t="s">
        <v>1049</v>
      </c>
      <c r="E587" s="398" t="s">
        <v>2405</v>
      </c>
      <c r="F587" s="398" t="s">
        <v>2379</v>
      </c>
      <c r="G587" s="398"/>
      <c r="H587" s="398" t="s">
        <v>281</v>
      </c>
      <c r="I587" s="401"/>
      <c r="J587" s="131" t="str">
        <f t="shared" si="9"/>
        <v>13</v>
      </c>
    </row>
    <row r="588" spans="1:10" s="114" customFormat="1" ht="24" hidden="1" customHeight="1">
      <c r="A588" s="398">
        <v>26</v>
      </c>
      <c r="B588" s="132" t="s">
        <v>2487</v>
      </c>
      <c r="C588" s="439" t="s">
        <v>1588</v>
      </c>
      <c r="D588" s="440" t="s">
        <v>1023</v>
      </c>
      <c r="E588" s="398" t="s">
        <v>1856</v>
      </c>
      <c r="F588" s="398" t="s">
        <v>2379</v>
      </c>
      <c r="G588" s="398"/>
      <c r="H588" s="398" t="s">
        <v>281</v>
      </c>
      <c r="I588" s="401" t="s">
        <v>2667</v>
      </c>
      <c r="J588" s="131" t="str">
        <f t="shared" si="9"/>
        <v>13</v>
      </c>
    </row>
    <row r="589" spans="1:10" s="114" customFormat="1" ht="24" hidden="1" customHeight="1">
      <c r="A589" s="398">
        <v>27</v>
      </c>
      <c r="B589" s="132" t="s">
        <v>2406</v>
      </c>
      <c r="C589" s="439" t="s">
        <v>1992</v>
      </c>
      <c r="D589" s="440" t="s">
        <v>205</v>
      </c>
      <c r="E589" s="398" t="s">
        <v>408</v>
      </c>
      <c r="F589" s="398" t="s">
        <v>2379</v>
      </c>
      <c r="G589" s="398"/>
      <c r="H589" s="398" t="s">
        <v>281</v>
      </c>
      <c r="I589" s="401"/>
      <c r="J589" s="131" t="str">
        <f t="shared" si="9"/>
        <v>13</v>
      </c>
    </row>
    <row r="590" spans="1:10" s="114" customFormat="1" ht="24" hidden="1" customHeight="1">
      <c r="A590" s="398">
        <v>28</v>
      </c>
      <c r="B590" s="132" t="s">
        <v>2407</v>
      </c>
      <c r="C590" s="439" t="s">
        <v>193</v>
      </c>
      <c r="D590" s="440" t="s">
        <v>404</v>
      </c>
      <c r="E590" s="398" t="s">
        <v>1766</v>
      </c>
      <c r="F590" s="398" t="s">
        <v>2379</v>
      </c>
      <c r="G590" s="398"/>
      <c r="H590" s="398" t="s">
        <v>281</v>
      </c>
      <c r="I590" s="401" t="s">
        <v>2383</v>
      </c>
      <c r="J590" s="131" t="str">
        <f t="shared" si="9"/>
        <v>13</v>
      </c>
    </row>
    <row r="591" spans="1:10" s="115" customFormat="1" ht="24" hidden="1" customHeight="1">
      <c r="A591" s="398">
        <v>29</v>
      </c>
      <c r="B591" s="132" t="s">
        <v>2408</v>
      </c>
      <c r="C591" s="439" t="s">
        <v>2409</v>
      </c>
      <c r="D591" s="440" t="s">
        <v>406</v>
      </c>
      <c r="E591" s="398" t="s">
        <v>1914</v>
      </c>
      <c r="F591" s="398" t="s">
        <v>2379</v>
      </c>
      <c r="G591" s="398"/>
      <c r="H591" s="398" t="s">
        <v>281</v>
      </c>
      <c r="I591" s="401" t="s">
        <v>2383</v>
      </c>
      <c r="J591" s="131" t="str">
        <f t="shared" si="9"/>
        <v>13</v>
      </c>
    </row>
    <row r="592" spans="1:10" s="114" customFormat="1" ht="24" hidden="1" customHeight="1">
      <c r="A592" s="398">
        <v>30</v>
      </c>
      <c r="B592" s="132" t="s">
        <v>2488</v>
      </c>
      <c r="C592" s="439" t="s">
        <v>2489</v>
      </c>
      <c r="D592" s="440" t="s">
        <v>441</v>
      </c>
      <c r="E592" s="398" t="s">
        <v>466</v>
      </c>
      <c r="F592" s="398" t="s">
        <v>2379</v>
      </c>
      <c r="G592" s="398"/>
      <c r="H592" s="398" t="s">
        <v>281</v>
      </c>
      <c r="I592" s="401" t="s">
        <v>2667</v>
      </c>
      <c r="J592" s="131" t="str">
        <f t="shared" si="9"/>
        <v>13</v>
      </c>
    </row>
    <row r="593" spans="1:10" s="114" customFormat="1" ht="24" hidden="1" customHeight="1">
      <c r="A593" s="398">
        <v>31</v>
      </c>
      <c r="B593" s="132" t="s">
        <v>2410</v>
      </c>
      <c r="C593" s="439" t="s">
        <v>2411</v>
      </c>
      <c r="D593" s="440" t="s">
        <v>293</v>
      </c>
      <c r="E593" s="398" t="s">
        <v>2206</v>
      </c>
      <c r="F593" s="398" t="s">
        <v>2379</v>
      </c>
      <c r="G593" s="398"/>
      <c r="H593" s="398" t="s">
        <v>281</v>
      </c>
      <c r="I593" s="401"/>
      <c r="J593" s="131" t="str">
        <f t="shared" si="9"/>
        <v>13</v>
      </c>
    </row>
    <row r="594" spans="1:10" s="114" customFormat="1" ht="24" hidden="1" customHeight="1">
      <c r="A594" s="398">
        <v>32</v>
      </c>
      <c r="B594" s="132" t="s">
        <v>2412</v>
      </c>
      <c r="C594" s="439" t="s">
        <v>1663</v>
      </c>
      <c r="D594" s="440" t="s">
        <v>293</v>
      </c>
      <c r="E594" s="398" t="s">
        <v>327</v>
      </c>
      <c r="F594" s="398" t="s">
        <v>2379</v>
      </c>
      <c r="G594" s="398"/>
      <c r="H594" s="398" t="s">
        <v>281</v>
      </c>
      <c r="I594" s="401"/>
      <c r="J594" s="131" t="str">
        <f t="shared" si="9"/>
        <v>13</v>
      </c>
    </row>
    <row r="595" spans="1:10" s="114" customFormat="1" ht="24" hidden="1" customHeight="1">
      <c r="A595" s="398">
        <v>33</v>
      </c>
      <c r="B595" s="132" t="s">
        <v>2493</v>
      </c>
      <c r="C595" s="439" t="s">
        <v>2494</v>
      </c>
      <c r="D595" s="440" t="s">
        <v>293</v>
      </c>
      <c r="E595" s="398" t="s">
        <v>2200</v>
      </c>
      <c r="F595" s="398" t="s">
        <v>2379</v>
      </c>
      <c r="G595" s="400" t="s">
        <v>330</v>
      </c>
      <c r="H595" s="398" t="s">
        <v>486</v>
      </c>
      <c r="I595" s="401" t="s">
        <v>2667</v>
      </c>
      <c r="J595" s="131" t="str">
        <f t="shared" si="9"/>
        <v>13</v>
      </c>
    </row>
    <row r="596" spans="1:10" s="114" customFormat="1" ht="24" hidden="1" customHeight="1">
      <c r="A596" s="398">
        <v>34</v>
      </c>
      <c r="B596" s="132" t="s">
        <v>2413</v>
      </c>
      <c r="C596" s="439" t="s">
        <v>2414</v>
      </c>
      <c r="D596" s="440" t="s">
        <v>409</v>
      </c>
      <c r="E596" s="398" t="s">
        <v>2415</v>
      </c>
      <c r="F596" s="398" t="s">
        <v>2379</v>
      </c>
      <c r="G596" s="400"/>
      <c r="H596" s="398" t="s">
        <v>281</v>
      </c>
      <c r="I596" s="401"/>
      <c r="J596" s="131" t="str">
        <f t="shared" si="9"/>
        <v>13</v>
      </c>
    </row>
    <row r="597" spans="1:10" s="114" customFormat="1" ht="24" hidden="1" customHeight="1">
      <c r="A597" s="398">
        <v>35</v>
      </c>
      <c r="B597" s="132" t="s">
        <v>2416</v>
      </c>
      <c r="C597" s="439" t="s">
        <v>346</v>
      </c>
      <c r="D597" s="440" t="s">
        <v>210</v>
      </c>
      <c r="E597" s="398" t="s">
        <v>2417</v>
      </c>
      <c r="F597" s="398" t="s">
        <v>2379</v>
      </c>
      <c r="G597" s="400" t="s">
        <v>360</v>
      </c>
      <c r="H597" s="398" t="s">
        <v>486</v>
      </c>
      <c r="I597" s="401"/>
      <c r="J597" s="131" t="str">
        <f t="shared" si="9"/>
        <v>13</v>
      </c>
    </row>
    <row r="598" spans="1:10" s="114" customFormat="1" ht="24" hidden="1" customHeight="1">
      <c r="A598" s="398">
        <v>36</v>
      </c>
      <c r="B598" s="132" t="s">
        <v>2418</v>
      </c>
      <c r="C598" s="439" t="s">
        <v>201</v>
      </c>
      <c r="D598" s="440" t="s">
        <v>454</v>
      </c>
      <c r="E598" s="398" t="s">
        <v>995</v>
      </c>
      <c r="F598" s="398" t="s">
        <v>2379</v>
      </c>
      <c r="G598" s="398"/>
      <c r="H598" s="398" t="s">
        <v>281</v>
      </c>
      <c r="I598" s="401"/>
      <c r="J598" s="131" t="str">
        <f t="shared" si="9"/>
        <v>13</v>
      </c>
    </row>
    <row r="599" spans="1:10" s="114" customFormat="1" ht="24" hidden="1" customHeight="1">
      <c r="A599" s="398">
        <v>37</v>
      </c>
      <c r="B599" s="132" t="s">
        <v>2419</v>
      </c>
      <c r="C599" s="439" t="s">
        <v>2420</v>
      </c>
      <c r="D599" s="440" t="s">
        <v>989</v>
      </c>
      <c r="E599" s="398" t="s">
        <v>1091</v>
      </c>
      <c r="F599" s="398" t="s">
        <v>2379</v>
      </c>
      <c r="G599" s="398"/>
      <c r="H599" s="398" t="s">
        <v>281</v>
      </c>
      <c r="I599" s="401"/>
      <c r="J599" s="131" t="str">
        <f t="shared" si="9"/>
        <v>13</v>
      </c>
    </row>
    <row r="600" spans="1:10" s="114" customFormat="1" ht="24" hidden="1" customHeight="1">
      <c r="A600" s="398">
        <v>38</v>
      </c>
      <c r="B600" s="132" t="s">
        <v>2421</v>
      </c>
      <c r="C600" s="439" t="s">
        <v>1501</v>
      </c>
      <c r="D600" s="440" t="s">
        <v>989</v>
      </c>
      <c r="E600" s="398" t="s">
        <v>1174</v>
      </c>
      <c r="F600" s="398" t="s">
        <v>2379</v>
      </c>
      <c r="G600" s="398"/>
      <c r="H600" s="398" t="s">
        <v>486</v>
      </c>
      <c r="I600" s="401" t="s">
        <v>2383</v>
      </c>
      <c r="J600" s="131" t="str">
        <f t="shared" si="9"/>
        <v>13</v>
      </c>
    </row>
    <row r="601" spans="1:10" s="114" customFormat="1" ht="24" hidden="1" customHeight="1">
      <c r="A601" s="398">
        <v>39</v>
      </c>
      <c r="B601" s="132" t="s">
        <v>2422</v>
      </c>
      <c r="C601" s="439" t="s">
        <v>421</v>
      </c>
      <c r="D601" s="440" t="s">
        <v>989</v>
      </c>
      <c r="E601" s="398" t="s">
        <v>2423</v>
      </c>
      <c r="F601" s="398" t="s">
        <v>2379</v>
      </c>
      <c r="G601" s="398"/>
      <c r="H601" s="398" t="s">
        <v>486</v>
      </c>
      <c r="I601" s="401"/>
      <c r="J601" s="131" t="str">
        <f t="shared" si="9"/>
        <v>13</v>
      </c>
    </row>
    <row r="602" spans="1:10" s="114" customFormat="1" ht="24" hidden="1" customHeight="1">
      <c r="A602" s="398">
        <v>40</v>
      </c>
      <c r="B602" s="132" t="s">
        <v>2424</v>
      </c>
      <c r="C602" s="439" t="s">
        <v>2425</v>
      </c>
      <c r="D602" s="440" t="s">
        <v>211</v>
      </c>
      <c r="E602" s="398" t="s">
        <v>2426</v>
      </c>
      <c r="F602" s="398" t="s">
        <v>2379</v>
      </c>
      <c r="G602" s="398"/>
      <c r="H602" s="398" t="s">
        <v>281</v>
      </c>
      <c r="I602" s="401" t="s">
        <v>173</v>
      </c>
      <c r="J602" s="131" t="str">
        <f t="shared" si="9"/>
        <v>13</v>
      </c>
    </row>
    <row r="603" spans="1:10" s="114" customFormat="1" ht="24" hidden="1" customHeight="1">
      <c r="A603" s="398">
        <v>41</v>
      </c>
      <c r="B603" s="132" t="s">
        <v>2427</v>
      </c>
      <c r="C603" s="439" t="s">
        <v>2193</v>
      </c>
      <c r="D603" s="440" t="s">
        <v>333</v>
      </c>
      <c r="E603" s="398" t="s">
        <v>1156</v>
      </c>
      <c r="F603" s="398" t="s">
        <v>2379</v>
      </c>
      <c r="G603" s="398"/>
      <c r="H603" s="398" t="s">
        <v>281</v>
      </c>
      <c r="I603" s="416"/>
      <c r="J603" s="131" t="str">
        <f t="shared" si="9"/>
        <v>13</v>
      </c>
    </row>
    <row r="604" spans="1:10" s="114" customFormat="1" ht="24" hidden="1" customHeight="1">
      <c r="A604" s="398">
        <v>42</v>
      </c>
      <c r="B604" s="132" t="s">
        <v>2428</v>
      </c>
      <c r="C604" s="439" t="s">
        <v>2069</v>
      </c>
      <c r="D604" s="440" t="s">
        <v>2429</v>
      </c>
      <c r="E604" s="398" t="s">
        <v>1074</v>
      </c>
      <c r="F604" s="398" t="s">
        <v>2379</v>
      </c>
      <c r="G604" s="398"/>
      <c r="H604" s="398" t="s">
        <v>281</v>
      </c>
      <c r="I604" s="401"/>
      <c r="J604" s="131" t="str">
        <f t="shared" si="9"/>
        <v>13</v>
      </c>
    </row>
    <row r="605" spans="1:10" s="114" customFormat="1" ht="24" hidden="1" customHeight="1">
      <c r="A605" s="398">
        <v>43</v>
      </c>
      <c r="B605" s="132" t="s">
        <v>2430</v>
      </c>
      <c r="C605" s="439" t="s">
        <v>2431</v>
      </c>
      <c r="D605" s="440" t="s">
        <v>343</v>
      </c>
      <c r="E605" s="398" t="s">
        <v>1597</v>
      </c>
      <c r="F605" s="398" t="s">
        <v>2379</v>
      </c>
      <c r="G605" s="398"/>
      <c r="H605" s="398" t="s">
        <v>486</v>
      </c>
      <c r="I605" s="401"/>
      <c r="J605" s="131" t="str">
        <f t="shared" si="9"/>
        <v>13</v>
      </c>
    </row>
    <row r="606" spans="1:10" s="114" customFormat="1" ht="24" hidden="1" customHeight="1">
      <c r="A606" s="398">
        <v>44</v>
      </c>
      <c r="B606" s="132" t="s">
        <v>2432</v>
      </c>
      <c r="C606" s="439" t="s">
        <v>443</v>
      </c>
      <c r="D606" s="440" t="s">
        <v>1047</v>
      </c>
      <c r="E606" s="398" t="s">
        <v>1856</v>
      </c>
      <c r="F606" s="398" t="s">
        <v>2379</v>
      </c>
      <c r="G606" s="398"/>
      <c r="H606" s="398" t="s">
        <v>281</v>
      </c>
      <c r="I606" s="401"/>
      <c r="J606" s="131" t="str">
        <f t="shared" si="9"/>
        <v>13</v>
      </c>
    </row>
    <row r="607" spans="1:10" s="114" customFormat="1" ht="24" hidden="1" customHeight="1">
      <c r="A607" s="398">
        <v>45</v>
      </c>
      <c r="B607" s="132" t="s">
        <v>2513</v>
      </c>
      <c r="C607" s="439" t="s">
        <v>2514</v>
      </c>
      <c r="D607" s="440" t="s">
        <v>993</v>
      </c>
      <c r="E607" s="398" t="s">
        <v>1490</v>
      </c>
      <c r="F607" s="398" t="s">
        <v>2379</v>
      </c>
      <c r="G607" s="398"/>
      <c r="H607" s="398" t="s">
        <v>281</v>
      </c>
      <c r="I607" s="401" t="s">
        <v>2667</v>
      </c>
      <c r="J607" s="131" t="str">
        <f t="shared" si="9"/>
        <v>13</v>
      </c>
    </row>
    <row r="608" spans="1:10" s="114" customFormat="1" ht="24" hidden="1" customHeight="1">
      <c r="A608" s="398">
        <v>46</v>
      </c>
      <c r="B608" s="132" t="s">
        <v>2433</v>
      </c>
      <c r="C608" s="439" t="s">
        <v>1125</v>
      </c>
      <c r="D608" s="440" t="s">
        <v>383</v>
      </c>
      <c r="E608" s="398" t="s">
        <v>1157</v>
      </c>
      <c r="F608" s="398" t="s">
        <v>2379</v>
      </c>
      <c r="G608" s="398"/>
      <c r="H608" s="398" t="s">
        <v>281</v>
      </c>
      <c r="I608" s="401"/>
      <c r="J608" s="131" t="str">
        <f t="shared" si="9"/>
        <v>13</v>
      </c>
    </row>
    <row r="609" spans="1:10" s="114" customFormat="1" ht="24" hidden="1" customHeight="1">
      <c r="A609" s="398">
        <v>47</v>
      </c>
      <c r="B609" s="132" t="s">
        <v>2434</v>
      </c>
      <c r="C609" s="439" t="s">
        <v>392</v>
      </c>
      <c r="D609" s="440" t="s">
        <v>1158</v>
      </c>
      <c r="E609" s="398" t="s">
        <v>2435</v>
      </c>
      <c r="F609" s="398" t="s">
        <v>2379</v>
      </c>
      <c r="G609" s="398"/>
      <c r="H609" s="398" t="s">
        <v>281</v>
      </c>
      <c r="I609" s="401"/>
      <c r="J609" s="131" t="str">
        <f t="shared" si="9"/>
        <v>13</v>
      </c>
    </row>
    <row r="610" spans="1:10" s="114" customFormat="1" ht="24" hidden="1" customHeight="1">
      <c r="A610" s="398">
        <v>48</v>
      </c>
      <c r="B610" s="132" t="s">
        <v>2436</v>
      </c>
      <c r="C610" s="439" t="s">
        <v>193</v>
      </c>
      <c r="D610" s="440" t="s">
        <v>221</v>
      </c>
      <c r="E610" s="398" t="s">
        <v>2148</v>
      </c>
      <c r="F610" s="398" t="s">
        <v>2379</v>
      </c>
      <c r="G610" s="398"/>
      <c r="H610" s="398" t="s">
        <v>486</v>
      </c>
      <c r="I610" s="401"/>
      <c r="J610" s="131" t="str">
        <f t="shared" si="9"/>
        <v>13</v>
      </c>
    </row>
    <row r="611" spans="1:10" s="114" customFormat="1" ht="24" hidden="1" customHeight="1">
      <c r="A611" s="398">
        <v>49</v>
      </c>
      <c r="B611" s="132" t="s">
        <v>2437</v>
      </c>
      <c r="C611" s="439" t="s">
        <v>2438</v>
      </c>
      <c r="D611" s="440" t="s">
        <v>350</v>
      </c>
      <c r="E611" s="398" t="s">
        <v>1688</v>
      </c>
      <c r="F611" s="398" t="s">
        <v>2379</v>
      </c>
      <c r="G611" s="400" t="s">
        <v>336</v>
      </c>
      <c r="H611" s="398" t="s">
        <v>281</v>
      </c>
      <c r="I611" s="401"/>
      <c r="J611" s="131" t="str">
        <f t="shared" si="9"/>
        <v>13</v>
      </c>
    </row>
    <row r="612" spans="1:10" s="114" customFormat="1" ht="24" hidden="1" customHeight="1">
      <c r="A612" s="398">
        <v>50</v>
      </c>
      <c r="B612" s="132" t="s">
        <v>2439</v>
      </c>
      <c r="C612" s="439" t="s">
        <v>2440</v>
      </c>
      <c r="D612" s="440" t="s">
        <v>226</v>
      </c>
      <c r="E612" s="398" t="s">
        <v>1156</v>
      </c>
      <c r="F612" s="398" t="s">
        <v>2379</v>
      </c>
      <c r="G612" s="398"/>
      <c r="H612" s="398" t="s">
        <v>486</v>
      </c>
      <c r="I612" s="401"/>
      <c r="J612" s="131" t="str">
        <f t="shared" si="9"/>
        <v>13</v>
      </c>
    </row>
    <row r="613" spans="1:10" s="114" customFormat="1" ht="24" hidden="1" customHeight="1">
      <c r="A613" s="398">
        <v>51</v>
      </c>
      <c r="B613" s="132" t="s">
        <v>2442</v>
      </c>
      <c r="C613" s="439" t="s">
        <v>395</v>
      </c>
      <c r="D613" s="440" t="s">
        <v>230</v>
      </c>
      <c r="E613" s="398" t="s">
        <v>466</v>
      </c>
      <c r="F613" s="398" t="s">
        <v>2379</v>
      </c>
      <c r="G613" s="398"/>
      <c r="H613" s="398" t="s">
        <v>281</v>
      </c>
      <c r="I613" s="401"/>
      <c r="J613" s="131" t="str">
        <f t="shared" si="9"/>
        <v>13</v>
      </c>
    </row>
    <row r="614" spans="1:10" s="114" customFormat="1" ht="24" hidden="1" customHeight="1">
      <c r="A614" s="398">
        <v>52</v>
      </c>
      <c r="B614" s="132" t="s">
        <v>2443</v>
      </c>
      <c r="C614" s="439" t="s">
        <v>2444</v>
      </c>
      <c r="D614" s="440" t="s">
        <v>979</v>
      </c>
      <c r="E614" s="398" t="s">
        <v>466</v>
      </c>
      <c r="F614" s="398" t="s">
        <v>2379</v>
      </c>
      <c r="G614" s="398"/>
      <c r="H614" s="398" t="s">
        <v>281</v>
      </c>
      <c r="I614" s="401"/>
      <c r="J614" s="131" t="str">
        <f t="shared" si="9"/>
        <v>13</v>
      </c>
    </row>
    <row r="615" spans="1:10" s="114" customFormat="1" ht="24" hidden="1" customHeight="1">
      <c r="A615" s="398">
        <v>53</v>
      </c>
      <c r="B615" s="132" t="s">
        <v>2445</v>
      </c>
      <c r="C615" s="439" t="s">
        <v>2446</v>
      </c>
      <c r="D615" s="440" t="s">
        <v>231</v>
      </c>
      <c r="E615" s="398" t="s">
        <v>1003</v>
      </c>
      <c r="F615" s="398" t="s">
        <v>2379</v>
      </c>
      <c r="G615" s="398"/>
      <c r="H615" s="398" t="s">
        <v>486</v>
      </c>
      <c r="I615" s="401"/>
      <c r="J615" s="131" t="str">
        <f t="shared" si="9"/>
        <v>13</v>
      </c>
    </row>
    <row r="616" spans="1:10" s="114" customFormat="1" ht="24" hidden="1" customHeight="1">
      <c r="A616" s="398">
        <v>54</v>
      </c>
      <c r="B616" s="132" t="s">
        <v>2447</v>
      </c>
      <c r="C616" s="439" t="s">
        <v>193</v>
      </c>
      <c r="D616" s="440" t="s">
        <v>231</v>
      </c>
      <c r="E616" s="398" t="s">
        <v>2448</v>
      </c>
      <c r="F616" s="398" t="s">
        <v>2379</v>
      </c>
      <c r="G616" s="419"/>
      <c r="H616" s="398" t="s">
        <v>486</v>
      </c>
      <c r="I616" s="401"/>
      <c r="J616" s="131" t="str">
        <f t="shared" si="9"/>
        <v>13</v>
      </c>
    </row>
    <row r="617" spans="1:10" s="114" customFormat="1" ht="24" hidden="1" customHeight="1">
      <c r="A617" s="398">
        <v>55</v>
      </c>
      <c r="B617" s="132" t="s">
        <v>2449</v>
      </c>
      <c r="C617" s="439" t="s">
        <v>474</v>
      </c>
      <c r="D617" s="440" t="s">
        <v>471</v>
      </c>
      <c r="E617" s="398" t="s">
        <v>476</v>
      </c>
      <c r="F617" s="398" t="s">
        <v>2379</v>
      </c>
      <c r="G617" s="398"/>
      <c r="H617" s="398" t="s">
        <v>281</v>
      </c>
      <c r="I617" s="401"/>
      <c r="J617" s="131" t="str">
        <f t="shared" si="9"/>
        <v>13</v>
      </c>
    </row>
    <row r="618" spans="1:10" s="114" customFormat="1" ht="24" hidden="1" customHeight="1">
      <c r="A618" s="398">
        <v>56</v>
      </c>
      <c r="B618" s="132" t="s">
        <v>2450</v>
      </c>
      <c r="C618" s="439" t="s">
        <v>346</v>
      </c>
      <c r="D618" s="440" t="s">
        <v>471</v>
      </c>
      <c r="E618" s="398" t="s">
        <v>1162</v>
      </c>
      <c r="F618" s="398" t="s">
        <v>2379</v>
      </c>
      <c r="G618" s="398"/>
      <c r="H618" s="398" t="s">
        <v>281</v>
      </c>
      <c r="I618" s="401"/>
      <c r="J618" s="131" t="str">
        <f t="shared" si="9"/>
        <v>13</v>
      </c>
    </row>
    <row r="619" spans="1:10" s="114" customFormat="1" ht="24" hidden="1" customHeight="1">
      <c r="A619" s="398">
        <v>57</v>
      </c>
      <c r="B619" s="132" t="s">
        <v>2451</v>
      </c>
      <c r="C619" s="439" t="s">
        <v>2452</v>
      </c>
      <c r="D619" s="440" t="s">
        <v>233</v>
      </c>
      <c r="E619" s="398" t="s">
        <v>1163</v>
      </c>
      <c r="F619" s="398" t="s">
        <v>2379</v>
      </c>
      <c r="G619" s="398"/>
      <c r="H619" s="398" t="s">
        <v>486</v>
      </c>
      <c r="I619" s="401"/>
      <c r="J619" s="131" t="str">
        <f t="shared" si="9"/>
        <v>13</v>
      </c>
    </row>
    <row r="620" spans="1:10" s="114" customFormat="1" ht="24" hidden="1" customHeight="1">
      <c r="A620" s="398">
        <v>58</v>
      </c>
      <c r="B620" s="132" t="s">
        <v>2453</v>
      </c>
      <c r="C620" s="439" t="s">
        <v>193</v>
      </c>
      <c r="D620" s="440" t="s">
        <v>235</v>
      </c>
      <c r="E620" s="398" t="s">
        <v>2454</v>
      </c>
      <c r="F620" s="398" t="s">
        <v>2379</v>
      </c>
      <c r="G620" s="398"/>
      <c r="H620" s="398" t="s">
        <v>281</v>
      </c>
      <c r="I620" s="401"/>
      <c r="J620" s="131" t="str">
        <f t="shared" si="9"/>
        <v>13</v>
      </c>
    </row>
    <row r="621" spans="1:10" s="114" customFormat="1" ht="24" hidden="1" customHeight="1">
      <c r="A621" s="398">
        <v>59</v>
      </c>
      <c r="B621" s="132" t="s">
        <v>2455</v>
      </c>
      <c r="C621" s="439" t="s">
        <v>2456</v>
      </c>
      <c r="D621" s="440" t="s">
        <v>235</v>
      </c>
      <c r="E621" s="398" t="s">
        <v>2457</v>
      </c>
      <c r="F621" s="398" t="s">
        <v>2379</v>
      </c>
      <c r="G621" s="398"/>
      <c r="H621" s="398" t="s">
        <v>281</v>
      </c>
      <c r="I621" s="401"/>
      <c r="J621" s="131" t="str">
        <f t="shared" si="9"/>
        <v>13</v>
      </c>
    </row>
    <row r="622" spans="1:10" s="114" customFormat="1" ht="24" hidden="1" customHeight="1">
      <c r="A622" s="398">
        <v>60</v>
      </c>
      <c r="B622" s="132" t="s">
        <v>2458</v>
      </c>
      <c r="C622" s="439" t="s">
        <v>1737</v>
      </c>
      <c r="D622" s="440" t="s">
        <v>2000</v>
      </c>
      <c r="E622" s="398" t="s">
        <v>1343</v>
      </c>
      <c r="F622" s="398" t="s">
        <v>2379</v>
      </c>
      <c r="G622" s="398"/>
      <c r="H622" s="398" t="s">
        <v>281</v>
      </c>
      <c r="I622" s="401"/>
      <c r="J622" s="131" t="str">
        <f t="shared" si="9"/>
        <v>13</v>
      </c>
    </row>
    <row r="623" spans="1:10" s="114" customFormat="1" ht="24" hidden="1" customHeight="1" thickBot="1">
      <c r="A623" s="406">
        <v>61</v>
      </c>
      <c r="B623" s="132" t="s">
        <v>2459</v>
      </c>
      <c r="C623" s="441" t="s">
        <v>443</v>
      </c>
      <c r="D623" s="442" t="s">
        <v>1040</v>
      </c>
      <c r="E623" s="406" t="s">
        <v>2206</v>
      </c>
      <c r="F623" s="406" t="s">
        <v>2379</v>
      </c>
      <c r="G623" s="406"/>
      <c r="H623" s="406" t="s">
        <v>486</v>
      </c>
      <c r="I623" s="417"/>
      <c r="J623" s="131" t="str">
        <f t="shared" si="9"/>
        <v>13</v>
      </c>
    </row>
    <row r="624" spans="1:10" s="114" customFormat="1" ht="24" hidden="1" customHeight="1">
      <c r="A624" s="408">
        <v>1</v>
      </c>
      <c r="B624" s="132" t="s">
        <v>2546</v>
      </c>
      <c r="C624" s="443" t="s">
        <v>2547</v>
      </c>
      <c r="D624" s="444" t="s">
        <v>985</v>
      </c>
      <c r="E624" s="408" t="s">
        <v>1056</v>
      </c>
      <c r="F624" s="409" t="s">
        <v>2463</v>
      </c>
      <c r="G624" s="408"/>
      <c r="H624" s="408" t="s">
        <v>281</v>
      </c>
      <c r="I624" s="410" t="s">
        <v>2669</v>
      </c>
      <c r="J624" s="131" t="str">
        <f t="shared" si="9"/>
        <v>13</v>
      </c>
    </row>
    <row r="625" spans="1:10" s="114" customFormat="1" ht="24" hidden="1" customHeight="1">
      <c r="A625" s="398">
        <v>2</v>
      </c>
      <c r="B625" s="132" t="s">
        <v>8</v>
      </c>
      <c r="C625" s="439" t="s">
        <v>9</v>
      </c>
      <c r="D625" s="440" t="s">
        <v>289</v>
      </c>
      <c r="E625" s="398" t="s">
        <v>1162</v>
      </c>
      <c r="F625" s="398" t="s">
        <v>2463</v>
      </c>
      <c r="G625" s="398"/>
      <c r="H625" s="398" t="s">
        <v>486</v>
      </c>
      <c r="I625" s="401" t="s">
        <v>2669</v>
      </c>
      <c r="J625" s="131" t="str">
        <f t="shared" si="9"/>
        <v>13</v>
      </c>
    </row>
    <row r="626" spans="1:10" s="114" customFormat="1" ht="24" hidden="1" customHeight="1">
      <c r="A626" s="398">
        <v>3</v>
      </c>
      <c r="B626" s="132" t="s">
        <v>10</v>
      </c>
      <c r="C626" s="439" t="s">
        <v>356</v>
      </c>
      <c r="D626" s="440" t="s">
        <v>364</v>
      </c>
      <c r="E626" s="398" t="s">
        <v>1830</v>
      </c>
      <c r="F626" s="398" t="s">
        <v>2463</v>
      </c>
      <c r="G626" s="398"/>
      <c r="H626" s="398" t="s">
        <v>281</v>
      </c>
      <c r="I626" s="401" t="s">
        <v>2383</v>
      </c>
      <c r="J626" s="131" t="str">
        <f t="shared" si="9"/>
        <v>13</v>
      </c>
    </row>
    <row r="627" spans="1:10" s="114" customFormat="1" ht="24" hidden="1" customHeight="1">
      <c r="A627" s="398">
        <v>4</v>
      </c>
      <c r="B627" s="132" t="s">
        <v>11</v>
      </c>
      <c r="C627" s="439" t="s">
        <v>447</v>
      </c>
      <c r="D627" s="440" t="s">
        <v>364</v>
      </c>
      <c r="E627" s="398" t="s">
        <v>449</v>
      </c>
      <c r="F627" s="398" t="s">
        <v>2463</v>
      </c>
      <c r="G627" s="398"/>
      <c r="H627" s="398" t="s">
        <v>281</v>
      </c>
      <c r="I627" s="401" t="s">
        <v>2669</v>
      </c>
      <c r="J627" s="131" t="str">
        <f t="shared" si="9"/>
        <v>13</v>
      </c>
    </row>
    <row r="628" spans="1:10" s="114" customFormat="1" ht="24" hidden="1" customHeight="1">
      <c r="A628" s="398">
        <v>5</v>
      </c>
      <c r="B628" s="132" t="s">
        <v>12</v>
      </c>
      <c r="C628" s="439" t="s">
        <v>382</v>
      </c>
      <c r="D628" s="440" t="s">
        <v>291</v>
      </c>
      <c r="E628" s="398" t="s">
        <v>1731</v>
      </c>
      <c r="F628" s="398" t="s">
        <v>2463</v>
      </c>
      <c r="G628" s="398"/>
      <c r="H628" s="398" t="s">
        <v>486</v>
      </c>
      <c r="I628" s="401" t="s">
        <v>2669</v>
      </c>
      <c r="J628" s="131" t="str">
        <f t="shared" si="9"/>
        <v>13</v>
      </c>
    </row>
    <row r="629" spans="1:10" s="114" customFormat="1" ht="24" hidden="1" customHeight="1">
      <c r="A629" s="398">
        <v>6</v>
      </c>
      <c r="B629" s="132" t="s">
        <v>2</v>
      </c>
      <c r="C629" s="439" t="s">
        <v>3</v>
      </c>
      <c r="D629" s="440" t="s">
        <v>363</v>
      </c>
      <c r="E629" s="398" t="s">
        <v>405</v>
      </c>
      <c r="F629" s="398" t="s">
        <v>2463</v>
      </c>
      <c r="G629" s="400" t="s">
        <v>336</v>
      </c>
      <c r="H629" s="398" t="s">
        <v>281</v>
      </c>
      <c r="I629" s="401" t="s">
        <v>2669</v>
      </c>
      <c r="J629" s="131" t="str">
        <f t="shared" si="9"/>
        <v>13</v>
      </c>
    </row>
    <row r="630" spans="1:10" s="114" customFormat="1" ht="24" hidden="1" customHeight="1">
      <c r="A630" s="398">
        <v>7</v>
      </c>
      <c r="B630" s="132" t="s">
        <v>4</v>
      </c>
      <c r="C630" s="439" t="s">
        <v>2190</v>
      </c>
      <c r="D630" s="440" t="s">
        <v>287</v>
      </c>
      <c r="E630" s="398" t="s">
        <v>5</v>
      </c>
      <c r="F630" s="398" t="s">
        <v>2463</v>
      </c>
      <c r="G630" s="398"/>
      <c r="H630" s="398" t="s">
        <v>281</v>
      </c>
      <c r="I630" s="401" t="s">
        <v>2669</v>
      </c>
      <c r="J630" s="131" t="str">
        <f t="shared" si="9"/>
        <v>13</v>
      </c>
    </row>
    <row r="631" spans="1:10" s="114" customFormat="1" ht="24" hidden="1" customHeight="1">
      <c r="A631" s="398">
        <v>8</v>
      </c>
      <c r="B631" s="132" t="s">
        <v>6</v>
      </c>
      <c r="C631" s="439" t="s">
        <v>7</v>
      </c>
      <c r="D631" s="440" t="s">
        <v>287</v>
      </c>
      <c r="E631" s="398" t="s">
        <v>1021</v>
      </c>
      <c r="F631" s="398" t="s">
        <v>2463</v>
      </c>
      <c r="G631" s="398"/>
      <c r="H631" s="398" t="s">
        <v>281</v>
      </c>
      <c r="I631" s="401" t="s">
        <v>2669</v>
      </c>
      <c r="J631" s="131" t="str">
        <f t="shared" si="9"/>
        <v>13</v>
      </c>
    </row>
    <row r="632" spans="1:10" s="114" customFormat="1" ht="24" hidden="1" customHeight="1">
      <c r="A632" s="398">
        <v>9</v>
      </c>
      <c r="B632" s="132" t="s">
        <v>13</v>
      </c>
      <c r="C632" s="439" t="s">
        <v>14</v>
      </c>
      <c r="D632" s="440" t="s">
        <v>202</v>
      </c>
      <c r="E632" s="398" t="s">
        <v>426</v>
      </c>
      <c r="F632" s="398" t="s">
        <v>2463</v>
      </c>
      <c r="G632" s="398"/>
      <c r="H632" s="398" t="s">
        <v>281</v>
      </c>
      <c r="I632" s="401" t="s">
        <v>2669</v>
      </c>
      <c r="J632" s="131" t="str">
        <f t="shared" si="9"/>
        <v>13</v>
      </c>
    </row>
    <row r="633" spans="1:10" s="114" customFormat="1" ht="24" hidden="1" customHeight="1">
      <c r="A633" s="398">
        <v>10</v>
      </c>
      <c r="B633" s="132" t="s">
        <v>15</v>
      </c>
      <c r="C633" s="439" t="s">
        <v>431</v>
      </c>
      <c r="D633" s="440" t="s">
        <v>1280</v>
      </c>
      <c r="E633" s="398" t="s">
        <v>286</v>
      </c>
      <c r="F633" s="398" t="s">
        <v>2463</v>
      </c>
      <c r="G633" s="398"/>
      <c r="H633" s="398" t="s">
        <v>281</v>
      </c>
      <c r="I633" s="401" t="s">
        <v>2669</v>
      </c>
      <c r="J633" s="131" t="str">
        <f t="shared" si="9"/>
        <v>13</v>
      </c>
    </row>
    <row r="634" spans="1:10" s="114" customFormat="1" ht="24" hidden="1" customHeight="1">
      <c r="A634" s="398">
        <v>11</v>
      </c>
      <c r="B634" s="132" t="s">
        <v>16</v>
      </c>
      <c r="C634" s="439" t="s">
        <v>17</v>
      </c>
      <c r="D634" s="440" t="s">
        <v>435</v>
      </c>
      <c r="E634" s="398" t="s">
        <v>437</v>
      </c>
      <c r="F634" s="398" t="s">
        <v>2463</v>
      </c>
      <c r="G634" s="398"/>
      <c r="H634" s="398" t="s">
        <v>281</v>
      </c>
      <c r="I634" s="401" t="s">
        <v>2669</v>
      </c>
      <c r="J634" s="131" t="str">
        <f t="shared" si="9"/>
        <v>13</v>
      </c>
    </row>
    <row r="635" spans="1:10" s="114" customFormat="1" ht="24" hidden="1" customHeight="1">
      <c r="A635" s="398">
        <v>12</v>
      </c>
      <c r="B635" s="132" t="s">
        <v>18</v>
      </c>
      <c r="C635" s="439" t="s">
        <v>19</v>
      </c>
      <c r="D635" s="440" t="s">
        <v>366</v>
      </c>
      <c r="E635" s="398" t="s">
        <v>345</v>
      </c>
      <c r="F635" s="398" t="s">
        <v>2463</v>
      </c>
      <c r="G635" s="398"/>
      <c r="H635" s="398" t="s">
        <v>486</v>
      </c>
      <c r="I635" s="401" t="s">
        <v>2669</v>
      </c>
      <c r="J635" s="131" t="str">
        <f t="shared" si="9"/>
        <v>13</v>
      </c>
    </row>
    <row r="636" spans="1:10" s="114" customFormat="1" ht="24" hidden="1" customHeight="1">
      <c r="A636" s="398">
        <v>13</v>
      </c>
      <c r="B636" s="132" t="s">
        <v>20</v>
      </c>
      <c r="C636" s="439" t="s">
        <v>21</v>
      </c>
      <c r="D636" s="440" t="s">
        <v>205</v>
      </c>
      <c r="E636" s="398" t="s">
        <v>1297</v>
      </c>
      <c r="F636" s="398" t="s">
        <v>2463</v>
      </c>
      <c r="G636" s="398"/>
      <c r="H636" s="398" t="s">
        <v>281</v>
      </c>
      <c r="I636" s="401" t="s">
        <v>2669</v>
      </c>
      <c r="J636" s="131" t="str">
        <f t="shared" si="9"/>
        <v>13</v>
      </c>
    </row>
    <row r="637" spans="1:10" s="114" customFormat="1" ht="24" hidden="1" customHeight="1">
      <c r="A637" s="398">
        <v>14</v>
      </c>
      <c r="B637" s="132" t="s">
        <v>22</v>
      </c>
      <c r="C637" s="439" t="s">
        <v>201</v>
      </c>
      <c r="D637" s="440" t="s">
        <v>404</v>
      </c>
      <c r="E637" s="398" t="s">
        <v>23</v>
      </c>
      <c r="F637" s="398" t="s">
        <v>2463</v>
      </c>
      <c r="G637" s="398"/>
      <c r="H637" s="398" t="s">
        <v>281</v>
      </c>
      <c r="I637" s="401" t="s">
        <v>2669</v>
      </c>
      <c r="J637" s="131" t="str">
        <f t="shared" si="9"/>
        <v>13</v>
      </c>
    </row>
    <row r="638" spans="1:10" s="114" customFormat="1" ht="24" hidden="1" customHeight="1">
      <c r="A638" s="398">
        <v>15</v>
      </c>
      <c r="B638" s="132" t="s">
        <v>2490</v>
      </c>
      <c r="C638" s="439" t="s">
        <v>2491</v>
      </c>
      <c r="D638" s="440" t="s">
        <v>293</v>
      </c>
      <c r="E638" s="398" t="s">
        <v>2492</v>
      </c>
      <c r="F638" s="398" t="s">
        <v>2463</v>
      </c>
      <c r="G638" s="398"/>
      <c r="H638" s="398" t="s">
        <v>486</v>
      </c>
      <c r="I638" s="401" t="s">
        <v>2383</v>
      </c>
      <c r="J638" s="131" t="str">
        <f t="shared" si="9"/>
        <v>13</v>
      </c>
    </row>
    <row r="639" spans="1:10" s="115" customFormat="1" ht="24" hidden="1" customHeight="1">
      <c r="A639" s="398">
        <v>16</v>
      </c>
      <c r="B639" s="132" t="s">
        <v>24</v>
      </c>
      <c r="C639" s="439" t="s">
        <v>346</v>
      </c>
      <c r="D639" s="440" t="s">
        <v>293</v>
      </c>
      <c r="E639" s="398" t="s">
        <v>1060</v>
      </c>
      <c r="F639" s="398" t="s">
        <v>2463</v>
      </c>
      <c r="G639" s="398"/>
      <c r="H639" s="398" t="s">
        <v>281</v>
      </c>
      <c r="I639" s="401" t="s">
        <v>2669</v>
      </c>
      <c r="J639" s="131" t="str">
        <f t="shared" si="9"/>
        <v>13</v>
      </c>
    </row>
    <row r="640" spans="1:10" s="114" customFormat="1" ht="24" hidden="1" customHeight="1">
      <c r="A640" s="398">
        <v>17</v>
      </c>
      <c r="B640" s="132" t="s">
        <v>2495</v>
      </c>
      <c r="C640" s="439" t="s">
        <v>2496</v>
      </c>
      <c r="D640" s="440" t="s">
        <v>293</v>
      </c>
      <c r="E640" s="398" t="s">
        <v>2497</v>
      </c>
      <c r="F640" s="398" t="s">
        <v>2463</v>
      </c>
      <c r="G640" s="398"/>
      <c r="H640" s="398" t="s">
        <v>281</v>
      </c>
      <c r="I640" s="401" t="s">
        <v>2670</v>
      </c>
      <c r="J640" s="131" t="str">
        <f t="shared" si="9"/>
        <v>13</v>
      </c>
    </row>
    <row r="641" spans="1:10" s="114" customFormat="1" ht="24" hidden="1" customHeight="1">
      <c r="A641" s="398">
        <v>18</v>
      </c>
      <c r="B641" s="132" t="s">
        <v>25</v>
      </c>
      <c r="C641" s="439" t="s">
        <v>26</v>
      </c>
      <c r="D641" s="440" t="s">
        <v>293</v>
      </c>
      <c r="E641" s="398" t="s">
        <v>1179</v>
      </c>
      <c r="F641" s="398" t="s">
        <v>2463</v>
      </c>
      <c r="G641" s="398"/>
      <c r="H641" s="398" t="s">
        <v>281</v>
      </c>
      <c r="I641" s="401" t="s">
        <v>2669</v>
      </c>
      <c r="J641" s="131" t="str">
        <f t="shared" si="9"/>
        <v>13</v>
      </c>
    </row>
    <row r="642" spans="1:10" s="114" customFormat="1" ht="24" hidden="1" customHeight="1">
      <c r="A642" s="398">
        <v>19</v>
      </c>
      <c r="B642" s="132" t="s">
        <v>27</v>
      </c>
      <c r="C642" s="439" t="s">
        <v>28</v>
      </c>
      <c r="D642" s="440" t="s">
        <v>293</v>
      </c>
      <c r="E642" s="398" t="s">
        <v>444</v>
      </c>
      <c r="F642" s="398" t="s">
        <v>2463</v>
      </c>
      <c r="G642" s="419"/>
      <c r="H642" s="398" t="s">
        <v>486</v>
      </c>
      <c r="I642" s="401" t="s">
        <v>2669</v>
      </c>
      <c r="J642" s="131" t="str">
        <f t="shared" si="9"/>
        <v>13</v>
      </c>
    </row>
    <row r="643" spans="1:10" s="114" customFormat="1" ht="24" hidden="1" customHeight="1">
      <c r="A643" s="398">
        <v>20</v>
      </c>
      <c r="B643" s="132" t="s">
        <v>2498</v>
      </c>
      <c r="C643" s="439" t="s">
        <v>2499</v>
      </c>
      <c r="D643" s="440" t="s">
        <v>2500</v>
      </c>
      <c r="E643" s="398" t="s">
        <v>2501</v>
      </c>
      <c r="F643" s="398" t="s">
        <v>2463</v>
      </c>
      <c r="G643" s="398"/>
      <c r="H643" s="398" t="s">
        <v>281</v>
      </c>
      <c r="I643" s="401" t="s">
        <v>2671</v>
      </c>
      <c r="J643" s="131" t="str">
        <f t="shared" ref="J643:J706" si="10">LEFT(F643,2)</f>
        <v>13</v>
      </c>
    </row>
    <row r="644" spans="1:10" s="114" customFormat="1" ht="24" hidden="1" customHeight="1">
      <c r="A644" s="398">
        <v>21</v>
      </c>
      <c r="B644" s="132" t="s">
        <v>2502</v>
      </c>
      <c r="C644" s="439" t="s">
        <v>342</v>
      </c>
      <c r="D644" s="440" t="s">
        <v>296</v>
      </c>
      <c r="E644" s="398" t="s">
        <v>2503</v>
      </c>
      <c r="F644" s="398" t="s">
        <v>2463</v>
      </c>
      <c r="G644" s="400"/>
      <c r="H644" s="398" t="s">
        <v>486</v>
      </c>
      <c r="I644" s="401" t="s">
        <v>2670</v>
      </c>
      <c r="J644" s="131" t="str">
        <f t="shared" si="10"/>
        <v>13</v>
      </c>
    </row>
    <row r="645" spans="1:10" s="114" customFormat="1" ht="24" hidden="1" customHeight="1">
      <c r="A645" s="398">
        <v>22</v>
      </c>
      <c r="B645" s="132" t="s">
        <v>29</v>
      </c>
      <c r="C645" s="439" t="s">
        <v>30</v>
      </c>
      <c r="D645" s="440" t="s">
        <v>989</v>
      </c>
      <c r="E645" s="398" t="s">
        <v>31</v>
      </c>
      <c r="F645" s="398" t="s">
        <v>2463</v>
      </c>
      <c r="G645" s="400" t="s">
        <v>360</v>
      </c>
      <c r="H645" s="398" t="s">
        <v>281</v>
      </c>
      <c r="I645" s="401" t="s">
        <v>2672</v>
      </c>
      <c r="J645" s="131" t="str">
        <f t="shared" si="10"/>
        <v>13</v>
      </c>
    </row>
    <row r="646" spans="1:10" s="114" customFormat="1" ht="24" hidden="1" customHeight="1">
      <c r="A646" s="398">
        <v>23</v>
      </c>
      <c r="B646" s="132" t="s">
        <v>2504</v>
      </c>
      <c r="C646" s="439" t="s">
        <v>1283</v>
      </c>
      <c r="D646" s="440" t="s">
        <v>455</v>
      </c>
      <c r="E646" s="398" t="s">
        <v>2505</v>
      </c>
      <c r="F646" s="398" t="s">
        <v>2463</v>
      </c>
      <c r="G646" s="398"/>
      <c r="H646" s="398" t="s">
        <v>281</v>
      </c>
      <c r="I646" s="401" t="s">
        <v>2667</v>
      </c>
      <c r="J646" s="131" t="str">
        <f t="shared" si="10"/>
        <v>13</v>
      </c>
    </row>
    <row r="647" spans="1:10" s="114" customFormat="1" ht="24" hidden="1" customHeight="1">
      <c r="A647" s="398">
        <v>24</v>
      </c>
      <c r="B647" s="132" t="s">
        <v>32</v>
      </c>
      <c r="C647" s="439" t="s">
        <v>237</v>
      </c>
      <c r="D647" s="440" t="s">
        <v>331</v>
      </c>
      <c r="E647" s="398" t="s">
        <v>1585</v>
      </c>
      <c r="F647" s="398" t="s">
        <v>2463</v>
      </c>
      <c r="G647" s="398"/>
      <c r="H647" s="398" t="s">
        <v>486</v>
      </c>
      <c r="I647" s="401" t="s">
        <v>2383</v>
      </c>
      <c r="J647" s="131" t="str">
        <f t="shared" si="10"/>
        <v>13</v>
      </c>
    </row>
    <row r="648" spans="1:10" s="114" customFormat="1" ht="24" hidden="1" customHeight="1">
      <c r="A648" s="398">
        <v>25</v>
      </c>
      <c r="B648" s="132" t="s">
        <v>33</v>
      </c>
      <c r="C648" s="439" t="s">
        <v>34</v>
      </c>
      <c r="D648" s="440" t="s">
        <v>333</v>
      </c>
      <c r="E648" s="398" t="s">
        <v>35</v>
      </c>
      <c r="F648" s="398" t="s">
        <v>2463</v>
      </c>
      <c r="G648" s="398"/>
      <c r="H648" s="398" t="s">
        <v>281</v>
      </c>
      <c r="I648" s="401" t="s">
        <v>36</v>
      </c>
      <c r="J648" s="131" t="str">
        <f t="shared" si="10"/>
        <v>13</v>
      </c>
    </row>
    <row r="649" spans="1:10" s="114" customFormat="1" ht="24" hidden="1" customHeight="1">
      <c r="A649" s="398">
        <v>26</v>
      </c>
      <c r="B649" s="132" t="s">
        <v>2506</v>
      </c>
      <c r="C649" s="439" t="s">
        <v>2507</v>
      </c>
      <c r="D649" s="440" t="s">
        <v>2508</v>
      </c>
      <c r="E649" s="398" t="s">
        <v>2509</v>
      </c>
      <c r="F649" s="398" t="s">
        <v>2463</v>
      </c>
      <c r="G649" s="398"/>
      <c r="H649" s="398" t="s">
        <v>281</v>
      </c>
      <c r="I649" s="401" t="s">
        <v>2667</v>
      </c>
      <c r="J649" s="131" t="str">
        <f t="shared" si="10"/>
        <v>13</v>
      </c>
    </row>
    <row r="650" spans="1:10" s="114" customFormat="1" ht="24" hidden="1" customHeight="1">
      <c r="A650" s="398">
        <v>27</v>
      </c>
      <c r="B650" s="132" t="s">
        <v>37</v>
      </c>
      <c r="C650" s="439" t="s">
        <v>1128</v>
      </c>
      <c r="D650" s="440" t="s">
        <v>213</v>
      </c>
      <c r="E650" s="398" t="s">
        <v>1707</v>
      </c>
      <c r="F650" s="398" t="s">
        <v>2463</v>
      </c>
      <c r="G650" s="398"/>
      <c r="H650" s="398" t="s">
        <v>281</v>
      </c>
      <c r="I650" s="401" t="s">
        <v>2669</v>
      </c>
      <c r="J650" s="131" t="str">
        <f t="shared" si="10"/>
        <v>13</v>
      </c>
    </row>
    <row r="651" spans="1:10" s="114" customFormat="1" ht="24" hidden="1" customHeight="1">
      <c r="A651" s="398">
        <v>28</v>
      </c>
      <c r="B651" s="132" t="s">
        <v>38</v>
      </c>
      <c r="C651" s="439" t="s">
        <v>2480</v>
      </c>
      <c r="D651" s="440" t="s">
        <v>213</v>
      </c>
      <c r="E651" s="398" t="s">
        <v>976</v>
      </c>
      <c r="F651" s="398" t="s">
        <v>2463</v>
      </c>
      <c r="G651" s="398"/>
      <c r="H651" s="398" t="s">
        <v>281</v>
      </c>
      <c r="I651" s="401" t="s">
        <v>2383</v>
      </c>
      <c r="J651" s="131" t="str">
        <f t="shared" si="10"/>
        <v>13</v>
      </c>
    </row>
    <row r="652" spans="1:10" s="114" customFormat="1" ht="24" hidden="1" customHeight="1">
      <c r="A652" s="398">
        <v>29</v>
      </c>
      <c r="B652" s="132" t="s">
        <v>39</v>
      </c>
      <c r="C652" s="439" t="s">
        <v>40</v>
      </c>
      <c r="D652" s="440" t="s">
        <v>1170</v>
      </c>
      <c r="E652" s="398" t="s">
        <v>41</v>
      </c>
      <c r="F652" s="398" t="s">
        <v>2463</v>
      </c>
      <c r="G652" s="398"/>
      <c r="H652" s="398" t="s">
        <v>281</v>
      </c>
      <c r="I652" s="401" t="s">
        <v>2383</v>
      </c>
      <c r="J652" s="131" t="str">
        <f t="shared" si="10"/>
        <v>13</v>
      </c>
    </row>
    <row r="653" spans="1:10" s="114" customFormat="1" ht="24" hidden="1" customHeight="1">
      <c r="A653" s="398">
        <v>30</v>
      </c>
      <c r="B653" s="132" t="s">
        <v>42</v>
      </c>
      <c r="C653" s="439" t="s">
        <v>43</v>
      </c>
      <c r="D653" s="440" t="s">
        <v>337</v>
      </c>
      <c r="E653" s="398" t="s">
        <v>44</v>
      </c>
      <c r="F653" s="398" t="s">
        <v>2463</v>
      </c>
      <c r="G653" s="398"/>
      <c r="H653" s="398" t="s">
        <v>486</v>
      </c>
      <c r="I653" s="401" t="s">
        <v>2669</v>
      </c>
      <c r="J653" s="131" t="str">
        <f t="shared" si="10"/>
        <v>13</v>
      </c>
    </row>
    <row r="654" spans="1:10" s="114" customFormat="1" ht="24" hidden="1" customHeight="1">
      <c r="A654" s="398">
        <v>31</v>
      </c>
      <c r="B654" s="132" t="s">
        <v>45</v>
      </c>
      <c r="C654" s="439" t="s">
        <v>232</v>
      </c>
      <c r="D654" s="440" t="s">
        <v>1036</v>
      </c>
      <c r="E654" s="398" t="s">
        <v>978</v>
      </c>
      <c r="F654" s="398" t="s">
        <v>2463</v>
      </c>
      <c r="G654" s="398"/>
      <c r="H654" s="398" t="s">
        <v>281</v>
      </c>
      <c r="I654" s="401" t="s">
        <v>2669</v>
      </c>
      <c r="J654" s="131" t="str">
        <f t="shared" si="10"/>
        <v>13</v>
      </c>
    </row>
    <row r="655" spans="1:10" s="114" customFormat="1" ht="24" hidden="1" customHeight="1">
      <c r="A655" s="398">
        <v>32</v>
      </c>
      <c r="B655" s="132" t="s">
        <v>2510</v>
      </c>
      <c r="C655" s="439" t="s">
        <v>2511</v>
      </c>
      <c r="D655" s="440" t="s">
        <v>341</v>
      </c>
      <c r="E655" s="398" t="s">
        <v>2423</v>
      </c>
      <c r="F655" s="398" t="s">
        <v>2463</v>
      </c>
      <c r="G655" s="398"/>
      <c r="H655" s="398" t="s">
        <v>486</v>
      </c>
      <c r="I655" s="401" t="s">
        <v>2667</v>
      </c>
      <c r="J655" s="131" t="str">
        <f t="shared" si="10"/>
        <v>13</v>
      </c>
    </row>
    <row r="656" spans="1:10" s="114" customFormat="1" ht="24" hidden="1" customHeight="1">
      <c r="A656" s="398">
        <v>33</v>
      </c>
      <c r="B656" s="132" t="s">
        <v>2512</v>
      </c>
      <c r="C656" s="439" t="s">
        <v>206</v>
      </c>
      <c r="D656" s="440" t="s">
        <v>343</v>
      </c>
      <c r="E656" s="398" t="s">
        <v>1830</v>
      </c>
      <c r="F656" s="398" t="s">
        <v>2463</v>
      </c>
      <c r="G656" s="398"/>
      <c r="H656" s="398" t="s">
        <v>281</v>
      </c>
      <c r="I656" s="401" t="s">
        <v>2667</v>
      </c>
      <c r="J656" s="131" t="str">
        <f t="shared" si="10"/>
        <v>13</v>
      </c>
    </row>
    <row r="657" spans="1:10" s="114" customFormat="1" ht="24" hidden="1" customHeight="1">
      <c r="A657" s="398">
        <v>34</v>
      </c>
      <c r="B657" s="132" t="s">
        <v>46</v>
      </c>
      <c r="C657" s="439" t="s">
        <v>2387</v>
      </c>
      <c r="D657" s="440" t="s">
        <v>217</v>
      </c>
      <c r="E657" s="398" t="s">
        <v>2211</v>
      </c>
      <c r="F657" s="398" t="s">
        <v>2463</v>
      </c>
      <c r="G657" s="398"/>
      <c r="H657" s="398" t="s">
        <v>281</v>
      </c>
      <c r="I657" s="401" t="s">
        <v>2383</v>
      </c>
      <c r="J657" s="131" t="str">
        <f t="shared" si="10"/>
        <v>13</v>
      </c>
    </row>
    <row r="658" spans="1:10" s="114" customFormat="1" ht="24" hidden="1" customHeight="1">
      <c r="A658" s="398">
        <v>35</v>
      </c>
      <c r="B658" s="132" t="s">
        <v>47</v>
      </c>
      <c r="C658" s="439" t="s">
        <v>201</v>
      </c>
      <c r="D658" s="440" t="s">
        <v>48</v>
      </c>
      <c r="E658" s="398" t="s">
        <v>49</v>
      </c>
      <c r="F658" s="398" t="s">
        <v>2463</v>
      </c>
      <c r="G658" s="398"/>
      <c r="H658" s="398" t="s">
        <v>281</v>
      </c>
      <c r="I658" s="401" t="s">
        <v>2669</v>
      </c>
      <c r="J658" s="131" t="str">
        <f t="shared" si="10"/>
        <v>13</v>
      </c>
    </row>
    <row r="659" spans="1:10" s="114" customFormat="1" ht="24" hidden="1" customHeight="1">
      <c r="A659" s="398">
        <v>36</v>
      </c>
      <c r="B659" s="132" t="s">
        <v>50</v>
      </c>
      <c r="C659" s="439" t="s">
        <v>346</v>
      </c>
      <c r="D659" s="440" t="s">
        <v>1085</v>
      </c>
      <c r="E659" s="398" t="s">
        <v>1806</v>
      </c>
      <c r="F659" s="398" t="s">
        <v>2463</v>
      </c>
      <c r="G659" s="398"/>
      <c r="H659" s="398" t="s">
        <v>281</v>
      </c>
      <c r="I659" s="401" t="s">
        <v>2669</v>
      </c>
      <c r="J659" s="131" t="str">
        <f t="shared" si="10"/>
        <v>13</v>
      </c>
    </row>
    <row r="660" spans="1:10" s="114" customFormat="1" ht="24" hidden="1" customHeight="1">
      <c r="A660" s="398">
        <v>37</v>
      </c>
      <c r="B660" s="132" t="s">
        <v>51</v>
      </c>
      <c r="C660" s="439" t="s">
        <v>470</v>
      </c>
      <c r="D660" s="440" t="s">
        <v>219</v>
      </c>
      <c r="E660" s="398" t="s">
        <v>52</v>
      </c>
      <c r="F660" s="398" t="s">
        <v>2463</v>
      </c>
      <c r="G660" s="398"/>
      <c r="H660" s="398" t="s">
        <v>486</v>
      </c>
      <c r="I660" s="401" t="s">
        <v>2669</v>
      </c>
      <c r="J660" s="131" t="str">
        <f t="shared" si="10"/>
        <v>13</v>
      </c>
    </row>
    <row r="661" spans="1:10" s="114" customFormat="1" ht="24" hidden="1" customHeight="1">
      <c r="A661" s="398">
        <v>38</v>
      </c>
      <c r="B661" s="132" t="s">
        <v>2515</v>
      </c>
      <c r="C661" s="439" t="s">
        <v>2516</v>
      </c>
      <c r="D661" s="440" t="s">
        <v>347</v>
      </c>
      <c r="E661" s="398" t="s">
        <v>2517</v>
      </c>
      <c r="F661" s="398" t="s">
        <v>2463</v>
      </c>
      <c r="G661" s="398"/>
      <c r="H661" s="398" t="s">
        <v>281</v>
      </c>
      <c r="I661" s="401" t="s">
        <v>2667</v>
      </c>
      <c r="J661" s="131" t="str">
        <f t="shared" si="10"/>
        <v>13</v>
      </c>
    </row>
    <row r="662" spans="1:10" s="114" customFormat="1" ht="24" hidden="1" customHeight="1">
      <c r="A662" s="398">
        <v>39</v>
      </c>
      <c r="B662" s="132" t="s">
        <v>2518</v>
      </c>
      <c r="C662" s="439" t="s">
        <v>1911</v>
      </c>
      <c r="D662" s="440" t="s">
        <v>347</v>
      </c>
      <c r="E662" s="398" t="s">
        <v>2519</v>
      </c>
      <c r="F662" s="398" t="s">
        <v>2463</v>
      </c>
      <c r="G662" s="398"/>
      <c r="H662" s="398" t="s">
        <v>281</v>
      </c>
      <c r="I662" s="401" t="s">
        <v>2667</v>
      </c>
      <c r="J662" s="131" t="str">
        <f t="shared" si="10"/>
        <v>13</v>
      </c>
    </row>
    <row r="663" spans="1:10" s="114" customFormat="1" ht="24" hidden="1" customHeight="1">
      <c r="A663" s="398">
        <v>40</v>
      </c>
      <c r="B663" s="132" t="s">
        <v>53</v>
      </c>
      <c r="C663" s="439" t="s">
        <v>367</v>
      </c>
      <c r="D663" s="440" t="s">
        <v>220</v>
      </c>
      <c r="E663" s="398" t="s">
        <v>1766</v>
      </c>
      <c r="F663" s="398" t="s">
        <v>2463</v>
      </c>
      <c r="G663" s="398"/>
      <c r="H663" s="398" t="s">
        <v>281</v>
      </c>
      <c r="I663" s="401" t="s">
        <v>2669</v>
      </c>
      <c r="J663" s="131" t="str">
        <f t="shared" si="10"/>
        <v>13</v>
      </c>
    </row>
    <row r="664" spans="1:10" s="114" customFormat="1" ht="24" hidden="1" customHeight="1">
      <c r="A664" s="398">
        <v>41</v>
      </c>
      <c r="B664" s="132" t="s">
        <v>2520</v>
      </c>
      <c r="C664" s="439" t="s">
        <v>2521</v>
      </c>
      <c r="D664" s="440" t="s">
        <v>221</v>
      </c>
      <c r="E664" s="398" t="s">
        <v>1292</v>
      </c>
      <c r="F664" s="398" t="s">
        <v>2463</v>
      </c>
      <c r="G664" s="400" t="s">
        <v>336</v>
      </c>
      <c r="H664" s="398" t="s">
        <v>486</v>
      </c>
      <c r="I664" s="401" t="s">
        <v>2667</v>
      </c>
      <c r="J664" s="131" t="str">
        <f t="shared" si="10"/>
        <v>13</v>
      </c>
    </row>
    <row r="665" spans="1:10" s="114" customFormat="1" ht="24" hidden="1" customHeight="1">
      <c r="A665" s="398">
        <v>42</v>
      </c>
      <c r="B665" s="132" t="s">
        <v>54</v>
      </c>
      <c r="C665" s="439" t="s">
        <v>55</v>
      </c>
      <c r="D665" s="440" t="s">
        <v>223</v>
      </c>
      <c r="E665" s="398" t="s">
        <v>1919</v>
      </c>
      <c r="F665" s="398" t="s">
        <v>2463</v>
      </c>
      <c r="G665" s="398"/>
      <c r="H665" s="398" t="s">
        <v>281</v>
      </c>
      <c r="I665" s="401" t="s">
        <v>2383</v>
      </c>
      <c r="J665" s="131" t="str">
        <f t="shared" si="10"/>
        <v>13</v>
      </c>
    </row>
    <row r="666" spans="1:10" s="114" customFormat="1" ht="24" hidden="1" customHeight="1">
      <c r="A666" s="398">
        <v>43</v>
      </c>
      <c r="B666" s="132" t="s">
        <v>2522</v>
      </c>
      <c r="C666" s="439" t="s">
        <v>1716</v>
      </c>
      <c r="D666" s="440" t="s">
        <v>350</v>
      </c>
      <c r="E666" s="398" t="s">
        <v>451</v>
      </c>
      <c r="F666" s="398" t="s">
        <v>2463</v>
      </c>
      <c r="G666" s="398"/>
      <c r="H666" s="398" t="s">
        <v>281</v>
      </c>
      <c r="I666" s="401" t="s">
        <v>2667</v>
      </c>
      <c r="J666" s="131" t="str">
        <f t="shared" si="10"/>
        <v>13</v>
      </c>
    </row>
    <row r="667" spans="1:10" s="114" customFormat="1" ht="24" hidden="1" customHeight="1">
      <c r="A667" s="398">
        <v>44</v>
      </c>
      <c r="B667" s="132" t="s">
        <v>56</v>
      </c>
      <c r="C667" s="439" t="s">
        <v>57</v>
      </c>
      <c r="D667" s="440" t="s">
        <v>350</v>
      </c>
      <c r="E667" s="398" t="s">
        <v>477</v>
      </c>
      <c r="F667" s="398" t="s">
        <v>2463</v>
      </c>
      <c r="G667" s="398"/>
      <c r="H667" s="398" t="s">
        <v>281</v>
      </c>
      <c r="I667" s="401" t="s">
        <v>2383</v>
      </c>
      <c r="J667" s="131" t="str">
        <f t="shared" si="10"/>
        <v>13</v>
      </c>
    </row>
    <row r="668" spans="1:10" s="114" customFormat="1" ht="24" hidden="1" customHeight="1">
      <c r="A668" s="398">
        <v>45</v>
      </c>
      <c r="B668" s="132" t="s">
        <v>58</v>
      </c>
      <c r="C668" s="439" t="s">
        <v>59</v>
      </c>
      <c r="D668" s="440" t="s">
        <v>446</v>
      </c>
      <c r="E668" s="398" t="s">
        <v>1176</v>
      </c>
      <c r="F668" s="398" t="s">
        <v>2463</v>
      </c>
      <c r="G668" s="398"/>
      <c r="H668" s="398" t="s">
        <v>486</v>
      </c>
      <c r="I668" s="401" t="s">
        <v>2383</v>
      </c>
      <c r="J668" s="131" t="str">
        <f t="shared" si="10"/>
        <v>13</v>
      </c>
    </row>
    <row r="669" spans="1:10" s="114" customFormat="1" ht="24" hidden="1" customHeight="1">
      <c r="A669" s="398">
        <v>46</v>
      </c>
      <c r="B669" s="132" t="s">
        <v>2524</v>
      </c>
      <c r="C669" s="439" t="s">
        <v>1120</v>
      </c>
      <c r="D669" s="440" t="s">
        <v>446</v>
      </c>
      <c r="E669" s="398" t="s">
        <v>974</v>
      </c>
      <c r="F669" s="398" t="s">
        <v>2463</v>
      </c>
      <c r="G669" s="398"/>
      <c r="H669" s="398" t="s">
        <v>281</v>
      </c>
      <c r="I669" s="401" t="s">
        <v>2667</v>
      </c>
      <c r="J669" s="131" t="str">
        <f t="shared" si="10"/>
        <v>13</v>
      </c>
    </row>
    <row r="670" spans="1:10" s="114" customFormat="1" ht="24" hidden="1" customHeight="1">
      <c r="A670" s="398">
        <v>47</v>
      </c>
      <c r="B670" s="132" t="s">
        <v>2523</v>
      </c>
      <c r="C670" s="439" t="s">
        <v>346</v>
      </c>
      <c r="D670" s="440" t="s">
        <v>352</v>
      </c>
      <c r="E670" s="398" t="s">
        <v>2343</v>
      </c>
      <c r="F670" s="398" t="s">
        <v>2463</v>
      </c>
      <c r="G670" s="398"/>
      <c r="H670" s="398" t="s">
        <v>486</v>
      </c>
      <c r="I670" s="401" t="s">
        <v>2667</v>
      </c>
      <c r="J670" s="131" t="str">
        <f t="shared" si="10"/>
        <v>13</v>
      </c>
    </row>
    <row r="671" spans="1:10" s="114" customFormat="1" ht="24" hidden="1" customHeight="1">
      <c r="A671" s="398">
        <v>48</v>
      </c>
      <c r="B671" s="132" t="s">
        <v>60</v>
      </c>
      <c r="C671" s="439" t="s">
        <v>462</v>
      </c>
      <c r="D671" s="440" t="s">
        <v>352</v>
      </c>
      <c r="E671" s="398" t="s">
        <v>1321</v>
      </c>
      <c r="F671" s="398" t="s">
        <v>2463</v>
      </c>
      <c r="G671" s="398"/>
      <c r="H671" s="398" t="s">
        <v>281</v>
      </c>
      <c r="I671" s="401" t="s">
        <v>2669</v>
      </c>
      <c r="J671" s="131" t="str">
        <f t="shared" si="10"/>
        <v>13</v>
      </c>
    </row>
    <row r="672" spans="1:10" s="114" customFormat="1" ht="24" hidden="1" customHeight="1">
      <c r="A672" s="398">
        <v>49</v>
      </c>
      <c r="B672" s="132" t="s">
        <v>2525</v>
      </c>
      <c r="C672" s="439" t="s">
        <v>195</v>
      </c>
      <c r="D672" s="440" t="s">
        <v>1159</v>
      </c>
      <c r="E672" s="398" t="s">
        <v>450</v>
      </c>
      <c r="F672" s="398" t="s">
        <v>2463</v>
      </c>
      <c r="G672" s="398"/>
      <c r="H672" s="398" t="s">
        <v>281</v>
      </c>
      <c r="I672" s="401" t="s">
        <v>2667</v>
      </c>
      <c r="J672" s="131" t="str">
        <f t="shared" si="10"/>
        <v>13</v>
      </c>
    </row>
    <row r="673" spans="1:10" s="114" customFormat="1" ht="24" hidden="1" customHeight="1">
      <c r="A673" s="398">
        <v>50</v>
      </c>
      <c r="B673" s="132" t="s">
        <v>61</v>
      </c>
      <c r="C673" s="439" t="s">
        <v>448</v>
      </c>
      <c r="D673" s="440" t="s">
        <v>1099</v>
      </c>
      <c r="E673" s="398" t="s">
        <v>62</v>
      </c>
      <c r="F673" s="398" t="s">
        <v>2463</v>
      </c>
      <c r="G673" s="398"/>
      <c r="H673" s="398" t="s">
        <v>281</v>
      </c>
      <c r="I673" s="401" t="s">
        <v>2383</v>
      </c>
      <c r="J673" s="131" t="str">
        <f t="shared" si="10"/>
        <v>13</v>
      </c>
    </row>
    <row r="674" spans="1:10" s="114" customFormat="1" ht="24" hidden="1" customHeight="1">
      <c r="A674" s="398">
        <v>51</v>
      </c>
      <c r="B674" s="132" t="s">
        <v>63</v>
      </c>
      <c r="C674" s="439" t="s">
        <v>367</v>
      </c>
      <c r="D674" s="440" t="s">
        <v>1180</v>
      </c>
      <c r="E674" s="398" t="s">
        <v>396</v>
      </c>
      <c r="F674" s="398" t="s">
        <v>2463</v>
      </c>
      <c r="G674" s="398"/>
      <c r="H674" s="398" t="s">
        <v>486</v>
      </c>
      <c r="I674" s="401" t="s">
        <v>2669</v>
      </c>
      <c r="J674" s="131" t="str">
        <f t="shared" si="10"/>
        <v>13</v>
      </c>
    </row>
    <row r="675" spans="1:10" s="114" customFormat="1" ht="24" hidden="1" customHeight="1">
      <c r="A675" s="398">
        <v>52</v>
      </c>
      <c r="B675" s="132" t="s">
        <v>2527</v>
      </c>
      <c r="C675" s="439" t="s">
        <v>2528</v>
      </c>
      <c r="D675" s="440" t="s">
        <v>1171</v>
      </c>
      <c r="E675" s="398" t="s">
        <v>466</v>
      </c>
      <c r="F675" s="398" t="s">
        <v>2463</v>
      </c>
      <c r="G675" s="398"/>
      <c r="H675" s="398" t="s">
        <v>281</v>
      </c>
      <c r="I675" s="401" t="s">
        <v>2667</v>
      </c>
      <c r="J675" s="131" t="str">
        <f t="shared" si="10"/>
        <v>13</v>
      </c>
    </row>
    <row r="676" spans="1:10" s="114" customFormat="1" ht="24" hidden="1" customHeight="1">
      <c r="A676" s="398">
        <v>53</v>
      </c>
      <c r="B676" s="132" t="s">
        <v>64</v>
      </c>
      <c r="C676" s="439" t="s">
        <v>206</v>
      </c>
      <c r="D676" s="440" t="s">
        <v>1038</v>
      </c>
      <c r="E676" s="398" t="s">
        <v>1632</v>
      </c>
      <c r="F676" s="398" t="s">
        <v>2463</v>
      </c>
      <c r="G676" s="398"/>
      <c r="H676" s="398" t="s">
        <v>281</v>
      </c>
      <c r="I676" s="401" t="s">
        <v>2669</v>
      </c>
      <c r="J676" s="131" t="str">
        <f t="shared" si="10"/>
        <v>13</v>
      </c>
    </row>
    <row r="677" spans="1:10" s="114" customFormat="1" ht="24" hidden="1" customHeight="1">
      <c r="A677" s="398">
        <v>54</v>
      </c>
      <c r="B677" s="132" t="s">
        <v>65</v>
      </c>
      <c r="C677" s="439" t="s">
        <v>201</v>
      </c>
      <c r="D677" s="440" t="s">
        <v>354</v>
      </c>
      <c r="E677" s="398" t="s">
        <v>1305</v>
      </c>
      <c r="F677" s="398" t="s">
        <v>2463</v>
      </c>
      <c r="G677" s="400" t="s">
        <v>330</v>
      </c>
      <c r="H677" s="398" t="s">
        <v>281</v>
      </c>
      <c r="I677" s="401" t="s">
        <v>2669</v>
      </c>
      <c r="J677" s="131" t="str">
        <f t="shared" si="10"/>
        <v>13</v>
      </c>
    </row>
    <row r="678" spans="1:10" s="114" customFormat="1" ht="24" hidden="1" customHeight="1">
      <c r="A678" s="398">
        <v>55</v>
      </c>
      <c r="B678" s="132" t="s">
        <v>66</v>
      </c>
      <c r="C678" s="439" t="s">
        <v>224</v>
      </c>
      <c r="D678" s="440" t="s">
        <v>358</v>
      </c>
      <c r="E678" s="398" t="s">
        <v>2345</v>
      </c>
      <c r="F678" s="398" t="s">
        <v>2463</v>
      </c>
      <c r="G678" s="398"/>
      <c r="H678" s="398" t="s">
        <v>281</v>
      </c>
      <c r="I678" s="401" t="s">
        <v>2669</v>
      </c>
      <c r="J678" s="131" t="str">
        <f t="shared" si="10"/>
        <v>13</v>
      </c>
    </row>
    <row r="679" spans="1:10" s="114" customFormat="1" ht="24" hidden="1" customHeight="1">
      <c r="A679" s="398">
        <v>56</v>
      </c>
      <c r="B679" s="132" t="s">
        <v>67</v>
      </c>
      <c r="C679" s="439" t="s">
        <v>282</v>
      </c>
      <c r="D679" s="440" t="s">
        <v>420</v>
      </c>
      <c r="E679" s="398" t="s">
        <v>378</v>
      </c>
      <c r="F679" s="398" t="s">
        <v>2463</v>
      </c>
      <c r="G679" s="398"/>
      <c r="H679" s="398" t="s">
        <v>281</v>
      </c>
      <c r="I679" s="401" t="s">
        <v>2669</v>
      </c>
      <c r="J679" s="131" t="str">
        <f t="shared" si="10"/>
        <v>13</v>
      </c>
    </row>
    <row r="680" spans="1:10" s="114" customFormat="1" ht="24" hidden="1" customHeight="1">
      <c r="A680" s="398">
        <v>57</v>
      </c>
      <c r="B680" s="132" t="s">
        <v>68</v>
      </c>
      <c r="C680" s="439" t="s">
        <v>69</v>
      </c>
      <c r="D680" s="440" t="s">
        <v>233</v>
      </c>
      <c r="E680" s="398" t="s">
        <v>1966</v>
      </c>
      <c r="F680" s="398" t="s">
        <v>2463</v>
      </c>
      <c r="G680" s="398"/>
      <c r="H680" s="398" t="s">
        <v>281</v>
      </c>
      <c r="I680" s="401" t="s">
        <v>2669</v>
      </c>
      <c r="J680" s="131" t="str">
        <f t="shared" si="10"/>
        <v>13</v>
      </c>
    </row>
    <row r="681" spans="1:10" s="114" customFormat="1" ht="24" hidden="1" customHeight="1">
      <c r="A681" s="398">
        <v>58</v>
      </c>
      <c r="B681" s="132" t="s">
        <v>70</v>
      </c>
      <c r="C681" s="439" t="s">
        <v>191</v>
      </c>
      <c r="D681" s="440" t="s">
        <v>400</v>
      </c>
      <c r="E681" s="398" t="s">
        <v>988</v>
      </c>
      <c r="F681" s="398" t="s">
        <v>2463</v>
      </c>
      <c r="G681" s="398"/>
      <c r="H681" s="398" t="s">
        <v>281</v>
      </c>
      <c r="I681" s="401" t="s">
        <v>2669</v>
      </c>
      <c r="J681" s="131" t="str">
        <f t="shared" si="10"/>
        <v>13</v>
      </c>
    </row>
    <row r="682" spans="1:10" s="114" customFormat="1" ht="24" hidden="1" customHeight="1">
      <c r="A682" s="398">
        <v>59</v>
      </c>
      <c r="B682" s="132" t="s">
        <v>71</v>
      </c>
      <c r="C682" s="439" t="s">
        <v>72</v>
      </c>
      <c r="D682" s="440" t="s">
        <v>473</v>
      </c>
      <c r="E682" s="398" t="s">
        <v>1490</v>
      </c>
      <c r="F682" s="398" t="s">
        <v>2463</v>
      </c>
      <c r="G682" s="398"/>
      <c r="H682" s="398" t="s">
        <v>486</v>
      </c>
      <c r="I682" s="401" t="s">
        <v>2669</v>
      </c>
      <c r="J682" s="131" t="str">
        <f t="shared" si="10"/>
        <v>13</v>
      </c>
    </row>
    <row r="683" spans="1:10" s="114" customFormat="1" ht="24" hidden="1" customHeight="1" thickBot="1">
      <c r="A683" s="406">
        <v>60</v>
      </c>
      <c r="B683" s="132" t="s">
        <v>73</v>
      </c>
      <c r="C683" s="441" t="s">
        <v>1177</v>
      </c>
      <c r="D683" s="442" t="s">
        <v>473</v>
      </c>
      <c r="E683" s="406" t="s">
        <v>332</v>
      </c>
      <c r="F683" s="406" t="s">
        <v>2463</v>
      </c>
      <c r="G683" s="406"/>
      <c r="H683" s="406" t="s">
        <v>281</v>
      </c>
      <c r="I683" s="417" t="s">
        <v>2669</v>
      </c>
      <c r="J683" s="131" t="str">
        <f t="shared" si="10"/>
        <v>13</v>
      </c>
    </row>
    <row r="684" spans="1:10" s="114" customFormat="1" ht="24" hidden="1" customHeight="1">
      <c r="A684" s="408">
        <v>1</v>
      </c>
      <c r="B684" s="132" t="s">
        <v>74</v>
      </c>
      <c r="C684" s="443" t="s">
        <v>452</v>
      </c>
      <c r="D684" s="444" t="s">
        <v>192</v>
      </c>
      <c r="E684" s="408" t="s">
        <v>1825</v>
      </c>
      <c r="F684" s="409" t="s">
        <v>0</v>
      </c>
      <c r="G684" s="408"/>
      <c r="H684" s="408" t="s">
        <v>486</v>
      </c>
      <c r="I684" s="410" t="s">
        <v>2673</v>
      </c>
      <c r="J684" s="131" t="str">
        <f t="shared" si="10"/>
        <v>13</v>
      </c>
    </row>
    <row r="685" spans="1:10" s="114" customFormat="1" ht="24" hidden="1" customHeight="1">
      <c r="A685" s="398">
        <v>2</v>
      </c>
      <c r="B685" s="132" t="s">
        <v>76</v>
      </c>
      <c r="C685" s="439" t="s">
        <v>1756</v>
      </c>
      <c r="D685" s="440" t="s">
        <v>194</v>
      </c>
      <c r="E685" s="398" t="s">
        <v>2200</v>
      </c>
      <c r="F685" s="398" t="s">
        <v>0</v>
      </c>
      <c r="G685" s="398"/>
      <c r="H685" s="398" t="s">
        <v>281</v>
      </c>
      <c r="I685" s="401" t="s">
        <v>2673</v>
      </c>
      <c r="J685" s="131" t="str">
        <f t="shared" si="10"/>
        <v>13</v>
      </c>
    </row>
    <row r="686" spans="1:10" s="114" customFormat="1" ht="24" hidden="1" customHeight="1">
      <c r="A686" s="398">
        <v>3</v>
      </c>
      <c r="B686" s="132" t="s">
        <v>77</v>
      </c>
      <c r="C686" s="439" t="s">
        <v>1031</v>
      </c>
      <c r="D686" s="440" t="s">
        <v>197</v>
      </c>
      <c r="E686" s="398" t="s">
        <v>78</v>
      </c>
      <c r="F686" s="398" t="s">
        <v>0</v>
      </c>
      <c r="G686" s="398"/>
      <c r="H686" s="398" t="s">
        <v>281</v>
      </c>
      <c r="I686" s="401" t="s">
        <v>2673</v>
      </c>
      <c r="J686" s="131" t="str">
        <f t="shared" si="10"/>
        <v>13</v>
      </c>
    </row>
    <row r="687" spans="1:10" s="114" customFormat="1" ht="24" hidden="1" customHeight="1">
      <c r="A687" s="398">
        <v>4</v>
      </c>
      <c r="B687" s="132" t="s">
        <v>83</v>
      </c>
      <c r="C687" s="439" t="s">
        <v>84</v>
      </c>
      <c r="D687" s="440" t="s">
        <v>364</v>
      </c>
      <c r="E687" s="398" t="s">
        <v>1815</v>
      </c>
      <c r="F687" s="398" t="s">
        <v>0</v>
      </c>
      <c r="G687" s="398"/>
      <c r="H687" s="398" t="s">
        <v>281</v>
      </c>
      <c r="I687" s="401" t="s">
        <v>2673</v>
      </c>
      <c r="J687" s="131" t="str">
        <f t="shared" si="10"/>
        <v>13</v>
      </c>
    </row>
    <row r="688" spans="1:10" s="114" customFormat="1" ht="24" hidden="1" customHeight="1">
      <c r="A688" s="398">
        <v>5</v>
      </c>
      <c r="B688" s="132" t="s">
        <v>79</v>
      </c>
      <c r="C688" s="439" t="s">
        <v>234</v>
      </c>
      <c r="D688" s="440" t="s">
        <v>363</v>
      </c>
      <c r="E688" s="398" t="s">
        <v>1181</v>
      </c>
      <c r="F688" s="398" t="s">
        <v>0</v>
      </c>
      <c r="G688" s="398"/>
      <c r="H688" s="398" t="s">
        <v>281</v>
      </c>
      <c r="I688" s="401" t="s">
        <v>2673</v>
      </c>
      <c r="J688" s="131" t="str">
        <f t="shared" si="10"/>
        <v>13</v>
      </c>
    </row>
    <row r="689" spans="1:10" s="114" customFormat="1" ht="24" hidden="1" customHeight="1">
      <c r="A689" s="398">
        <v>6</v>
      </c>
      <c r="B689" s="132" t="s">
        <v>80</v>
      </c>
      <c r="C689" s="439" t="s">
        <v>2438</v>
      </c>
      <c r="D689" s="440" t="s">
        <v>363</v>
      </c>
      <c r="E689" s="398" t="s">
        <v>81</v>
      </c>
      <c r="F689" s="398" t="s">
        <v>0</v>
      </c>
      <c r="G689" s="400" t="s">
        <v>330</v>
      </c>
      <c r="H689" s="398" t="s">
        <v>281</v>
      </c>
      <c r="I689" s="401" t="s">
        <v>2673</v>
      </c>
      <c r="J689" s="131" t="str">
        <f t="shared" si="10"/>
        <v>13</v>
      </c>
    </row>
    <row r="690" spans="1:10" s="114" customFormat="1" ht="24" hidden="1" customHeight="1">
      <c r="A690" s="398">
        <v>7</v>
      </c>
      <c r="B690" s="132" t="s">
        <v>82</v>
      </c>
      <c r="C690" s="439" t="s">
        <v>209</v>
      </c>
      <c r="D690" s="440" t="s">
        <v>287</v>
      </c>
      <c r="E690" s="398" t="s">
        <v>1121</v>
      </c>
      <c r="F690" s="398" t="s">
        <v>0</v>
      </c>
      <c r="G690" s="398"/>
      <c r="H690" s="398" t="s">
        <v>281</v>
      </c>
      <c r="I690" s="401" t="s">
        <v>2673</v>
      </c>
      <c r="J690" s="131" t="str">
        <f t="shared" si="10"/>
        <v>13</v>
      </c>
    </row>
    <row r="691" spans="1:10" s="114" customFormat="1" ht="24" hidden="1" customHeight="1">
      <c r="A691" s="398">
        <v>8</v>
      </c>
      <c r="B691" s="132" t="s">
        <v>85</v>
      </c>
      <c r="C691" s="439" t="s">
        <v>86</v>
      </c>
      <c r="D691" s="440" t="s">
        <v>202</v>
      </c>
      <c r="E691" s="398" t="s">
        <v>449</v>
      </c>
      <c r="F691" s="398" t="s">
        <v>0</v>
      </c>
      <c r="G691" s="398"/>
      <c r="H691" s="398" t="s">
        <v>486</v>
      </c>
      <c r="I691" s="401" t="s">
        <v>2673</v>
      </c>
      <c r="J691" s="131" t="str">
        <f t="shared" si="10"/>
        <v>13</v>
      </c>
    </row>
    <row r="692" spans="1:10" s="114" customFormat="1" ht="24" hidden="1" customHeight="1">
      <c r="A692" s="398">
        <v>9</v>
      </c>
      <c r="B692" s="132" t="s">
        <v>87</v>
      </c>
      <c r="C692" s="439" t="s">
        <v>1516</v>
      </c>
      <c r="D692" s="440" t="s">
        <v>480</v>
      </c>
      <c r="E692" s="398" t="s">
        <v>88</v>
      </c>
      <c r="F692" s="398" t="s">
        <v>0</v>
      </c>
      <c r="G692" s="398"/>
      <c r="H692" s="398" t="s">
        <v>281</v>
      </c>
      <c r="I692" s="401" t="s">
        <v>2673</v>
      </c>
      <c r="J692" s="131" t="str">
        <f t="shared" si="10"/>
        <v>13</v>
      </c>
    </row>
    <row r="693" spans="1:10" s="114" customFormat="1" ht="24" hidden="1" customHeight="1">
      <c r="A693" s="398">
        <v>10</v>
      </c>
      <c r="B693" s="132" t="s">
        <v>89</v>
      </c>
      <c r="C693" s="439" t="s">
        <v>1863</v>
      </c>
      <c r="D693" s="440" t="s">
        <v>90</v>
      </c>
      <c r="E693" s="398" t="s">
        <v>91</v>
      </c>
      <c r="F693" s="398" t="s">
        <v>0</v>
      </c>
      <c r="G693" s="400"/>
      <c r="H693" s="398" t="s">
        <v>281</v>
      </c>
      <c r="I693" s="401" t="s">
        <v>2673</v>
      </c>
      <c r="J693" s="131" t="str">
        <f t="shared" si="10"/>
        <v>13</v>
      </c>
    </row>
    <row r="694" spans="1:10" s="115" customFormat="1" ht="24" hidden="1" customHeight="1">
      <c r="A694" s="398">
        <v>11</v>
      </c>
      <c r="B694" s="132" t="s">
        <v>509</v>
      </c>
      <c r="C694" s="439" t="s">
        <v>1128</v>
      </c>
      <c r="D694" s="440" t="s">
        <v>293</v>
      </c>
      <c r="E694" s="398" t="s">
        <v>510</v>
      </c>
      <c r="F694" s="398" t="s">
        <v>0</v>
      </c>
      <c r="G694" s="412"/>
      <c r="H694" s="398" t="s">
        <v>281</v>
      </c>
      <c r="I694" s="401" t="s">
        <v>1</v>
      </c>
      <c r="J694" s="131" t="str">
        <f t="shared" si="10"/>
        <v>13</v>
      </c>
    </row>
    <row r="695" spans="1:10" s="114" customFormat="1" ht="24" hidden="1" customHeight="1">
      <c r="A695" s="398">
        <v>12</v>
      </c>
      <c r="B695" s="132" t="s">
        <v>92</v>
      </c>
      <c r="C695" s="439" t="s">
        <v>93</v>
      </c>
      <c r="D695" s="440" t="s">
        <v>207</v>
      </c>
      <c r="E695" s="398" t="s">
        <v>1883</v>
      </c>
      <c r="F695" s="398" t="s">
        <v>0</v>
      </c>
      <c r="G695" s="398"/>
      <c r="H695" s="398" t="s">
        <v>281</v>
      </c>
      <c r="I695" s="401" t="s">
        <v>2673</v>
      </c>
      <c r="J695" s="131" t="str">
        <f t="shared" si="10"/>
        <v>13</v>
      </c>
    </row>
    <row r="696" spans="1:10" s="114" customFormat="1" ht="24" hidden="1" customHeight="1">
      <c r="A696" s="398">
        <v>13</v>
      </c>
      <c r="B696" s="132" t="s">
        <v>94</v>
      </c>
      <c r="C696" s="439" t="s">
        <v>95</v>
      </c>
      <c r="D696" s="440" t="s">
        <v>96</v>
      </c>
      <c r="E696" s="398" t="s">
        <v>2197</v>
      </c>
      <c r="F696" s="398" t="s">
        <v>0</v>
      </c>
      <c r="G696" s="398"/>
      <c r="H696" s="398" t="s">
        <v>281</v>
      </c>
      <c r="I696" s="401" t="s">
        <v>2673</v>
      </c>
      <c r="J696" s="131" t="str">
        <f t="shared" si="10"/>
        <v>13</v>
      </c>
    </row>
    <row r="697" spans="1:10" s="114" customFormat="1" ht="24" hidden="1" customHeight="1">
      <c r="A697" s="398">
        <v>14</v>
      </c>
      <c r="B697" s="132" t="s">
        <v>97</v>
      </c>
      <c r="C697" s="439" t="s">
        <v>198</v>
      </c>
      <c r="D697" s="440" t="s">
        <v>328</v>
      </c>
      <c r="E697" s="398" t="s">
        <v>1155</v>
      </c>
      <c r="F697" s="398" t="s">
        <v>0</v>
      </c>
      <c r="G697" s="398"/>
      <c r="H697" s="398" t="s">
        <v>281</v>
      </c>
      <c r="I697" s="401" t="s">
        <v>2673</v>
      </c>
      <c r="J697" s="131" t="str">
        <f t="shared" si="10"/>
        <v>13</v>
      </c>
    </row>
    <row r="698" spans="1:10" s="114" customFormat="1" ht="24" hidden="1" customHeight="1">
      <c r="A698" s="398">
        <v>15</v>
      </c>
      <c r="B698" s="132" t="s">
        <v>98</v>
      </c>
      <c r="C698" s="439" t="s">
        <v>1726</v>
      </c>
      <c r="D698" s="440" t="s">
        <v>213</v>
      </c>
      <c r="E698" s="398" t="s">
        <v>99</v>
      </c>
      <c r="F698" s="398" t="s">
        <v>0</v>
      </c>
      <c r="G698" s="398"/>
      <c r="H698" s="398" t="s">
        <v>486</v>
      </c>
      <c r="I698" s="401" t="s">
        <v>2674</v>
      </c>
      <c r="J698" s="131" t="str">
        <f t="shared" si="10"/>
        <v>13</v>
      </c>
    </row>
    <row r="699" spans="1:10" s="114" customFormat="1" ht="24" hidden="1" customHeight="1">
      <c r="A699" s="398">
        <v>16</v>
      </c>
      <c r="B699" s="132" t="s">
        <v>100</v>
      </c>
      <c r="C699" s="439" t="s">
        <v>2287</v>
      </c>
      <c r="D699" s="440" t="s">
        <v>213</v>
      </c>
      <c r="E699" s="398" t="s">
        <v>996</v>
      </c>
      <c r="F699" s="398" t="s">
        <v>0</v>
      </c>
      <c r="G699" s="398"/>
      <c r="H699" s="398" t="s">
        <v>281</v>
      </c>
      <c r="I699" s="401" t="s">
        <v>2673</v>
      </c>
      <c r="J699" s="131" t="str">
        <f t="shared" si="10"/>
        <v>13</v>
      </c>
    </row>
    <row r="700" spans="1:10" s="114" customFormat="1" ht="24" hidden="1" customHeight="1">
      <c r="A700" s="398">
        <v>17</v>
      </c>
      <c r="B700" s="132" t="s">
        <v>101</v>
      </c>
      <c r="C700" s="439" t="s">
        <v>392</v>
      </c>
      <c r="D700" s="440" t="s">
        <v>334</v>
      </c>
      <c r="E700" s="398" t="s">
        <v>1820</v>
      </c>
      <c r="F700" s="398" t="s">
        <v>0</v>
      </c>
      <c r="G700" s="398"/>
      <c r="H700" s="398" t="s">
        <v>281</v>
      </c>
      <c r="I700" s="401" t="s">
        <v>2673</v>
      </c>
      <c r="J700" s="131" t="str">
        <f t="shared" si="10"/>
        <v>13</v>
      </c>
    </row>
    <row r="701" spans="1:10" s="115" customFormat="1" ht="24" hidden="1" customHeight="1">
      <c r="A701" s="398">
        <v>18</v>
      </c>
      <c r="B701" s="132" t="s">
        <v>102</v>
      </c>
      <c r="C701" s="439" t="s">
        <v>198</v>
      </c>
      <c r="D701" s="440" t="s">
        <v>335</v>
      </c>
      <c r="E701" s="398" t="s">
        <v>103</v>
      </c>
      <c r="F701" s="398" t="s">
        <v>0</v>
      </c>
      <c r="G701" s="398"/>
      <c r="H701" s="398" t="s">
        <v>281</v>
      </c>
      <c r="I701" s="401" t="s">
        <v>2675</v>
      </c>
      <c r="J701" s="131" t="str">
        <f t="shared" si="10"/>
        <v>13</v>
      </c>
    </row>
    <row r="702" spans="1:10" s="114" customFormat="1" ht="24" hidden="1" customHeight="1">
      <c r="A702" s="398">
        <v>19</v>
      </c>
      <c r="B702" s="132" t="s">
        <v>104</v>
      </c>
      <c r="C702" s="439" t="s">
        <v>462</v>
      </c>
      <c r="D702" s="440" t="s">
        <v>337</v>
      </c>
      <c r="E702" s="398" t="s">
        <v>1175</v>
      </c>
      <c r="F702" s="398" t="s">
        <v>0</v>
      </c>
      <c r="G702" s="398"/>
      <c r="H702" s="398" t="s">
        <v>486</v>
      </c>
      <c r="I702" s="401" t="s">
        <v>2674</v>
      </c>
      <c r="J702" s="131" t="str">
        <f t="shared" si="10"/>
        <v>13</v>
      </c>
    </row>
    <row r="703" spans="1:10" s="114" customFormat="1" ht="24" hidden="1" customHeight="1">
      <c r="A703" s="398">
        <v>20</v>
      </c>
      <c r="B703" s="132" t="s">
        <v>105</v>
      </c>
      <c r="C703" s="439" t="s">
        <v>1555</v>
      </c>
      <c r="D703" s="440" t="s">
        <v>337</v>
      </c>
      <c r="E703" s="398" t="s">
        <v>981</v>
      </c>
      <c r="F703" s="398" t="s">
        <v>0</v>
      </c>
      <c r="G703" s="398"/>
      <c r="H703" s="398" t="s">
        <v>281</v>
      </c>
      <c r="I703" s="401" t="s">
        <v>2673</v>
      </c>
      <c r="J703" s="131" t="str">
        <f t="shared" si="10"/>
        <v>13</v>
      </c>
    </row>
    <row r="704" spans="1:10" s="114" customFormat="1" ht="24" hidden="1" customHeight="1">
      <c r="A704" s="398">
        <v>21</v>
      </c>
      <c r="B704" s="132" t="s">
        <v>106</v>
      </c>
      <c r="C704" s="439" t="s">
        <v>474</v>
      </c>
      <c r="D704" s="440" t="s">
        <v>1183</v>
      </c>
      <c r="E704" s="398" t="s">
        <v>2006</v>
      </c>
      <c r="F704" s="398" t="s">
        <v>0</v>
      </c>
      <c r="G704" s="398"/>
      <c r="H704" s="398" t="s">
        <v>281</v>
      </c>
      <c r="I704" s="401" t="s">
        <v>2673</v>
      </c>
      <c r="J704" s="131" t="str">
        <f t="shared" si="10"/>
        <v>13</v>
      </c>
    </row>
    <row r="705" spans="1:10" s="114" customFormat="1" ht="24" hidden="1" customHeight="1">
      <c r="A705" s="398">
        <v>22</v>
      </c>
      <c r="B705" s="132" t="s">
        <v>107</v>
      </c>
      <c r="C705" s="439" t="s">
        <v>1054</v>
      </c>
      <c r="D705" s="440" t="s">
        <v>340</v>
      </c>
      <c r="E705" s="398" t="s">
        <v>1844</v>
      </c>
      <c r="F705" s="398" t="s">
        <v>0</v>
      </c>
      <c r="G705" s="398"/>
      <c r="H705" s="398" t="s">
        <v>281</v>
      </c>
      <c r="I705" s="401" t="s">
        <v>2673</v>
      </c>
      <c r="J705" s="131" t="str">
        <f t="shared" si="10"/>
        <v>13</v>
      </c>
    </row>
    <row r="706" spans="1:10" s="114" customFormat="1" ht="24" hidden="1" customHeight="1">
      <c r="A706" s="398">
        <v>23</v>
      </c>
      <c r="B706" s="132" t="s">
        <v>108</v>
      </c>
      <c r="C706" s="439" t="s">
        <v>109</v>
      </c>
      <c r="D706" s="440" t="s">
        <v>217</v>
      </c>
      <c r="E706" s="398" t="s">
        <v>1118</v>
      </c>
      <c r="F706" s="398" t="s">
        <v>0</v>
      </c>
      <c r="G706" s="398"/>
      <c r="H706" s="398" t="s">
        <v>281</v>
      </c>
      <c r="I706" s="401" t="s">
        <v>2674</v>
      </c>
      <c r="J706" s="131" t="str">
        <f t="shared" si="10"/>
        <v>13</v>
      </c>
    </row>
    <row r="707" spans="1:10" s="114" customFormat="1" ht="24" hidden="1" customHeight="1">
      <c r="A707" s="398">
        <v>24</v>
      </c>
      <c r="B707" s="132" t="s">
        <v>110</v>
      </c>
      <c r="C707" s="439" t="s">
        <v>474</v>
      </c>
      <c r="D707" s="440" t="s">
        <v>1047</v>
      </c>
      <c r="E707" s="398" t="s">
        <v>428</v>
      </c>
      <c r="F707" s="398" t="s">
        <v>0</v>
      </c>
      <c r="G707" s="398"/>
      <c r="H707" s="398" t="s">
        <v>281</v>
      </c>
      <c r="I707" s="401" t="s">
        <v>2673</v>
      </c>
      <c r="J707" s="131" t="str">
        <f t="shared" ref="J707:J770" si="11">LEFT(F707,2)</f>
        <v>13</v>
      </c>
    </row>
    <row r="708" spans="1:10" s="114" customFormat="1" ht="24" hidden="1" customHeight="1">
      <c r="A708" s="398">
        <v>25</v>
      </c>
      <c r="B708" s="132" t="s">
        <v>111</v>
      </c>
      <c r="C708" s="439" t="s">
        <v>112</v>
      </c>
      <c r="D708" s="440" t="s">
        <v>113</v>
      </c>
      <c r="E708" s="398" t="s">
        <v>114</v>
      </c>
      <c r="F708" s="398" t="s">
        <v>0</v>
      </c>
      <c r="G708" s="400" t="s">
        <v>360</v>
      </c>
      <c r="H708" s="398" t="s">
        <v>281</v>
      </c>
      <c r="I708" s="401" t="s">
        <v>2674</v>
      </c>
      <c r="J708" s="131" t="str">
        <f t="shared" si="11"/>
        <v>13</v>
      </c>
    </row>
    <row r="709" spans="1:10" s="114" customFormat="1" ht="24" hidden="1" customHeight="1">
      <c r="A709" s="398">
        <v>26</v>
      </c>
      <c r="B709" s="132" t="s">
        <v>115</v>
      </c>
      <c r="C709" s="439" t="s">
        <v>433</v>
      </c>
      <c r="D709" s="440" t="s">
        <v>219</v>
      </c>
      <c r="E709" s="398" t="s">
        <v>477</v>
      </c>
      <c r="F709" s="398" t="s">
        <v>0</v>
      </c>
      <c r="G709" s="398"/>
      <c r="H709" s="398" t="s">
        <v>281</v>
      </c>
      <c r="I709" s="401" t="s">
        <v>2674</v>
      </c>
      <c r="J709" s="131" t="str">
        <f t="shared" si="11"/>
        <v>13</v>
      </c>
    </row>
    <row r="710" spans="1:10" s="114" customFormat="1" ht="24" hidden="1" customHeight="1">
      <c r="A710" s="398">
        <v>27</v>
      </c>
      <c r="B710" s="132" t="s">
        <v>116</v>
      </c>
      <c r="C710" s="439" t="s">
        <v>421</v>
      </c>
      <c r="D710" s="440" t="s">
        <v>220</v>
      </c>
      <c r="E710" s="398" t="s">
        <v>117</v>
      </c>
      <c r="F710" s="398" t="s">
        <v>0</v>
      </c>
      <c r="G710" s="398"/>
      <c r="H710" s="398" t="s">
        <v>281</v>
      </c>
      <c r="I710" s="401" t="s">
        <v>2673</v>
      </c>
      <c r="J710" s="131" t="str">
        <f t="shared" si="11"/>
        <v>13</v>
      </c>
    </row>
    <row r="711" spans="1:10" s="114" customFormat="1" ht="24" hidden="1" customHeight="1">
      <c r="A711" s="398">
        <v>28</v>
      </c>
      <c r="B711" s="132" t="s">
        <v>118</v>
      </c>
      <c r="C711" s="439" t="s">
        <v>119</v>
      </c>
      <c r="D711" s="440" t="s">
        <v>350</v>
      </c>
      <c r="E711" s="398" t="s">
        <v>388</v>
      </c>
      <c r="F711" s="398" t="s">
        <v>0</v>
      </c>
      <c r="G711" s="398"/>
      <c r="H711" s="398" t="s">
        <v>281</v>
      </c>
      <c r="I711" s="401" t="s">
        <v>2674</v>
      </c>
      <c r="J711" s="131" t="str">
        <f t="shared" si="11"/>
        <v>13</v>
      </c>
    </row>
    <row r="712" spans="1:10" s="114" customFormat="1" ht="24" hidden="1" customHeight="1">
      <c r="A712" s="398">
        <v>29</v>
      </c>
      <c r="B712" s="132" t="s">
        <v>120</v>
      </c>
      <c r="C712" s="439" t="s">
        <v>206</v>
      </c>
      <c r="D712" s="440" t="s">
        <v>350</v>
      </c>
      <c r="E712" s="398" t="s">
        <v>121</v>
      </c>
      <c r="F712" s="398" t="s">
        <v>0</v>
      </c>
      <c r="G712" s="400" t="s">
        <v>336</v>
      </c>
      <c r="H712" s="398" t="s">
        <v>281</v>
      </c>
      <c r="I712" s="401" t="s">
        <v>2673</v>
      </c>
      <c r="J712" s="131" t="str">
        <f t="shared" si="11"/>
        <v>13</v>
      </c>
    </row>
    <row r="713" spans="1:10" s="114" customFormat="1" ht="24" hidden="1" customHeight="1">
      <c r="A713" s="398">
        <v>30</v>
      </c>
      <c r="B713" s="132" t="s">
        <v>122</v>
      </c>
      <c r="C713" s="439" t="s">
        <v>123</v>
      </c>
      <c r="D713" s="440" t="s">
        <v>446</v>
      </c>
      <c r="E713" s="398" t="s">
        <v>124</v>
      </c>
      <c r="F713" s="398" t="s">
        <v>0</v>
      </c>
      <c r="G713" s="398"/>
      <c r="H713" s="398" t="s">
        <v>281</v>
      </c>
      <c r="I713" s="401" t="s">
        <v>2673</v>
      </c>
      <c r="J713" s="131" t="str">
        <f t="shared" si="11"/>
        <v>13</v>
      </c>
    </row>
    <row r="714" spans="1:10" s="114" customFormat="1" ht="24" hidden="1" customHeight="1">
      <c r="A714" s="398">
        <v>31</v>
      </c>
      <c r="B714" s="132" t="s">
        <v>125</v>
      </c>
      <c r="C714" s="439" t="s">
        <v>209</v>
      </c>
      <c r="D714" s="440" t="s">
        <v>352</v>
      </c>
      <c r="E714" s="398" t="s">
        <v>126</v>
      </c>
      <c r="F714" s="398" t="s">
        <v>0</v>
      </c>
      <c r="G714" s="400"/>
      <c r="H714" s="398" t="s">
        <v>281</v>
      </c>
      <c r="I714" s="401" t="s">
        <v>2673</v>
      </c>
      <c r="J714" s="131" t="str">
        <f t="shared" si="11"/>
        <v>13</v>
      </c>
    </row>
    <row r="715" spans="1:10" s="114" customFormat="1" ht="24" hidden="1" customHeight="1">
      <c r="A715" s="398">
        <v>32</v>
      </c>
      <c r="B715" s="132" t="s">
        <v>127</v>
      </c>
      <c r="C715" s="439" t="s">
        <v>1084</v>
      </c>
      <c r="D715" s="440" t="s">
        <v>417</v>
      </c>
      <c r="E715" s="398" t="s">
        <v>128</v>
      </c>
      <c r="F715" s="398" t="s">
        <v>0</v>
      </c>
      <c r="G715" s="400"/>
      <c r="H715" s="398" t="s">
        <v>486</v>
      </c>
      <c r="I715" s="401" t="s">
        <v>2673</v>
      </c>
      <c r="J715" s="131" t="str">
        <f t="shared" si="11"/>
        <v>13</v>
      </c>
    </row>
    <row r="716" spans="1:10" s="114" customFormat="1" ht="24" hidden="1" customHeight="1">
      <c r="A716" s="398">
        <v>33</v>
      </c>
      <c r="B716" s="132" t="s">
        <v>2441</v>
      </c>
      <c r="C716" s="439" t="s">
        <v>1160</v>
      </c>
      <c r="D716" s="440" t="s">
        <v>1161</v>
      </c>
      <c r="E716" s="398" t="s">
        <v>401</v>
      </c>
      <c r="F716" s="398" t="s">
        <v>0</v>
      </c>
      <c r="G716" s="398" t="s">
        <v>283</v>
      </c>
      <c r="H716" s="398" t="s">
        <v>281</v>
      </c>
      <c r="I716" s="401" t="s">
        <v>2676</v>
      </c>
      <c r="J716" s="131" t="str">
        <f t="shared" si="11"/>
        <v>13</v>
      </c>
    </row>
    <row r="717" spans="1:10" s="114" customFormat="1" ht="24" hidden="1" customHeight="1">
      <c r="A717" s="398">
        <v>34</v>
      </c>
      <c r="B717" s="132" t="s">
        <v>2526</v>
      </c>
      <c r="C717" s="439" t="s">
        <v>282</v>
      </c>
      <c r="D717" s="440" t="s">
        <v>1171</v>
      </c>
      <c r="E717" s="398" t="s">
        <v>2454</v>
      </c>
      <c r="F717" s="398" t="s">
        <v>0</v>
      </c>
      <c r="G717" s="398"/>
      <c r="H717" s="398" t="s">
        <v>486</v>
      </c>
      <c r="I717" s="401" t="s">
        <v>2667</v>
      </c>
      <c r="J717" s="131" t="str">
        <f t="shared" si="11"/>
        <v>13</v>
      </c>
    </row>
    <row r="718" spans="1:10" s="114" customFormat="1" ht="24" hidden="1" customHeight="1">
      <c r="A718" s="398">
        <v>35</v>
      </c>
      <c r="B718" s="132" t="s">
        <v>2529</v>
      </c>
      <c r="C718" s="439" t="s">
        <v>395</v>
      </c>
      <c r="D718" s="440" t="s">
        <v>230</v>
      </c>
      <c r="E718" s="398" t="s">
        <v>1169</v>
      </c>
      <c r="F718" s="398" t="s">
        <v>0</v>
      </c>
      <c r="G718" s="398"/>
      <c r="H718" s="398" t="s">
        <v>281</v>
      </c>
      <c r="I718" s="401" t="s">
        <v>2667</v>
      </c>
      <c r="J718" s="131" t="str">
        <f t="shared" si="11"/>
        <v>13</v>
      </c>
    </row>
    <row r="719" spans="1:10" s="114" customFormat="1" ht="24" hidden="1" customHeight="1">
      <c r="A719" s="398">
        <v>36</v>
      </c>
      <c r="B719" s="132" t="s">
        <v>131</v>
      </c>
      <c r="C719" s="439" t="s">
        <v>1177</v>
      </c>
      <c r="D719" s="440" t="s">
        <v>230</v>
      </c>
      <c r="E719" s="398" t="s">
        <v>2255</v>
      </c>
      <c r="F719" s="398" t="s">
        <v>0</v>
      </c>
      <c r="G719" s="398"/>
      <c r="H719" s="398" t="s">
        <v>281</v>
      </c>
      <c r="I719" s="401" t="s">
        <v>2674</v>
      </c>
      <c r="J719" s="131" t="str">
        <f t="shared" si="11"/>
        <v>13</v>
      </c>
    </row>
    <row r="720" spans="1:10" s="114" customFormat="1" ht="24" hidden="1" customHeight="1">
      <c r="A720" s="398">
        <v>37</v>
      </c>
      <c r="B720" s="132" t="s">
        <v>129</v>
      </c>
      <c r="C720" s="439" t="s">
        <v>474</v>
      </c>
      <c r="D720" s="440" t="s">
        <v>130</v>
      </c>
      <c r="E720" s="398" t="s">
        <v>1475</v>
      </c>
      <c r="F720" s="398" t="s">
        <v>0</v>
      </c>
      <c r="G720" s="398"/>
      <c r="H720" s="398" t="s">
        <v>281</v>
      </c>
      <c r="I720" s="401" t="s">
        <v>2673</v>
      </c>
      <c r="J720" s="131" t="str">
        <f t="shared" si="11"/>
        <v>13</v>
      </c>
    </row>
    <row r="721" spans="1:10" s="114" customFormat="1" ht="24" hidden="1" customHeight="1">
      <c r="A721" s="398">
        <v>38</v>
      </c>
      <c r="B721" s="132" t="s">
        <v>2530</v>
      </c>
      <c r="C721" s="439" t="s">
        <v>2531</v>
      </c>
      <c r="D721" s="440" t="s">
        <v>2532</v>
      </c>
      <c r="E721" s="398" t="s">
        <v>977</v>
      </c>
      <c r="F721" s="398" t="s">
        <v>0</v>
      </c>
      <c r="G721" s="398"/>
      <c r="H721" s="398" t="s">
        <v>281</v>
      </c>
      <c r="I721" s="401" t="s">
        <v>2667</v>
      </c>
      <c r="J721" s="131" t="str">
        <f t="shared" si="11"/>
        <v>13</v>
      </c>
    </row>
    <row r="722" spans="1:10" s="114" customFormat="1" ht="24" hidden="1" customHeight="1">
      <c r="A722" s="398">
        <v>39</v>
      </c>
      <c r="B722" s="132" t="s">
        <v>132</v>
      </c>
      <c r="C722" s="439" t="s">
        <v>133</v>
      </c>
      <c r="D722" s="440" t="s">
        <v>354</v>
      </c>
      <c r="E722" s="398" t="s">
        <v>1117</v>
      </c>
      <c r="F722" s="398" t="s">
        <v>0</v>
      </c>
      <c r="G722" s="398"/>
      <c r="H722" s="398" t="s">
        <v>486</v>
      </c>
      <c r="I722" s="401" t="s">
        <v>2674</v>
      </c>
      <c r="J722" s="131" t="str">
        <f t="shared" si="11"/>
        <v>13</v>
      </c>
    </row>
    <row r="723" spans="1:10" s="114" customFormat="1" ht="24" hidden="1" customHeight="1">
      <c r="A723" s="398">
        <v>40</v>
      </c>
      <c r="B723" s="132" t="s">
        <v>2533</v>
      </c>
      <c r="C723" s="439" t="s">
        <v>2387</v>
      </c>
      <c r="D723" s="440" t="s">
        <v>354</v>
      </c>
      <c r="E723" s="398" t="s">
        <v>1969</v>
      </c>
      <c r="F723" s="398" t="s">
        <v>0</v>
      </c>
      <c r="G723" s="398"/>
      <c r="H723" s="398" t="s">
        <v>281</v>
      </c>
      <c r="I723" s="401" t="s">
        <v>2667</v>
      </c>
      <c r="J723" s="131" t="str">
        <f t="shared" si="11"/>
        <v>13</v>
      </c>
    </row>
    <row r="724" spans="1:10" s="114" customFormat="1" ht="24" hidden="1" customHeight="1">
      <c r="A724" s="398">
        <v>41</v>
      </c>
      <c r="B724" s="132" t="s">
        <v>134</v>
      </c>
      <c r="C724" s="439" t="s">
        <v>135</v>
      </c>
      <c r="D724" s="440" t="s">
        <v>354</v>
      </c>
      <c r="E724" s="398" t="s">
        <v>2046</v>
      </c>
      <c r="F724" s="398" t="s">
        <v>0</v>
      </c>
      <c r="G724" s="398"/>
      <c r="H724" s="398" t="s">
        <v>281</v>
      </c>
      <c r="I724" s="401" t="s">
        <v>2673</v>
      </c>
      <c r="J724" s="131" t="str">
        <f t="shared" si="11"/>
        <v>13</v>
      </c>
    </row>
    <row r="725" spans="1:10" s="114" customFormat="1" ht="24" hidden="1" customHeight="1">
      <c r="A725" s="398">
        <v>42</v>
      </c>
      <c r="B725" s="132" t="s">
        <v>2534</v>
      </c>
      <c r="C725" s="439" t="s">
        <v>282</v>
      </c>
      <c r="D725" s="440" t="s">
        <v>231</v>
      </c>
      <c r="E725" s="398" t="s">
        <v>2454</v>
      </c>
      <c r="F725" s="398" t="s">
        <v>0</v>
      </c>
      <c r="G725" s="400" t="s">
        <v>360</v>
      </c>
      <c r="H725" s="398" t="s">
        <v>486</v>
      </c>
      <c r="I725" s="401" t="s">
        <v>2667</v>
      </c>
      <c r="J725" s="131" t="str">
        <f t="shared" si="11"/>
        <v>13</v>
      </c>
    </row>
    <row r="726" spans="1:10" s="114" customFormat="1" ht="24" hidden="1" customHeight="1">
      <c r="A726" s="398">
        <v>43</v>
      </c>
      <c r="B726" s="132" t="s">
        <v>136</v>
      </c>
      <c r="C726" s="439" t="s">
        <v>137</v>
      </c>
      <c r="D726" s="440" t="s">
        <v>1142</v>
      </c>
      <c r="E726" s="398" t="s">
        <v>138</v>
      </c>
      <c r="F726" s="398" t="s">
        <v>0</v>
      </c>
      <c r="G726" s="398"/>
      <c r="H726" s="398" t="s">
        <v>281</v>
      </c>
      <c r="I726" s="401" t="s">
        <v>2673</v>
      </c>
      <c r="J726" s="131" t="str">
        <f t="shared" si="11"/>
        <v>13</v>
      </c>
    </row>
    <row r="727" spans="1:10" s="114" customFormat="1" ht="24" hidden="1" customHeight="1">
      <c r="A727" s="398">
        <v>44</v>
      </c>
      <c r="B727" s="132" t="s">
        <v>139</v>
      </c>
      <c r="C727" s="439" t="s">
        <v>2097</v>
      </c>
      <c r="D727" s="440" t="s">
        <v>471</v>
      </c>
      <c r="E727" s="398" t="s">
        <v>140</v>
      </c>
      <c r="F727" s="398" t="s">
        <v>0</v>
      </c>
      <c r="G727" s="398"/>
      <c r="H727" s="398" t="s">
        <v>281</v>
      </c>
      <c r="I727" s="401" t="s">
        <v>2673</v>
      </c>
      <c r="J727" s="131" t="str">
        <f t="shared" si="11"/>
        <v>13</v>
      </c>
    </row>
    <row r="728" spans="1:10" s="114" customFormat="1" ht="24" hidden="1" customHeight="1">
      <c r="A728" s="398">
        <v>45</v>
      </c>
      <c r="B728" s="132" t="s">
        <v>2535</v>
      </c>
      <c r="C728" s="439" t="s">
        <v>2536</v>
      </c>
      <c r="D728" s="440" t="s">
        <v>420</v>
      </c>
      <c r="E728" s="398" t="s">
        <v>2537</v>
      </c>
      <c r="F728" s="398" t="s">
        <v>0</v>
      </c>
      <c r="G728" s="398"/>
      <c r="H728" s="398" t="s">
        <v>281</v>
      </c>
      <c r="I728" s="401" t="s">
        <v>2667</v>
      </c>
      <c r="J728" s="131" t="str">
        <f t="shared" si="11"/>
        <v>13</v>
      </c>
    </row>
    <row r="729" spans="1:10" s="115" customFormat="1" ht="24" hidden="1" customHeight="1">
      <c r="A729" s="398">
        <v>46</v>
      </c>
      <c r="B729" s="132" t="s">
        <v>141</v>
      </c>
      <c r="C729" s="439" t="s">
        <v>193</v>
      </c>
      <c r="D729" s="440" t="s">
        <v>420</v>
      </c>
      <c r="E729" s="398" t="s">
        <v>142</v>
      </c>
      <c r="F729" s="398" t="s">
        <v>0</v>
      </c>
      <c r="G729" s="398"/>
      <c r="H729" s="398" t="s">
        <v>281</v>
      </c>
      <c r="I729" s="401" t="s">
        <v>2674</v>
      </c>
      <c r="J729" s="131" t="str">
        <f t="shared" si="11"/>
        <v>13</v>
      </c>
    </row>
    <row r="730" spans="1:10" s="114" customFormat="1" ht="24" hidden="1" customHeight="1">
      <c r="A730" s="398">
        <v>47</v>
      </c>
      <c r="B730" s="132" t="s">
        <v>143</v>
      </c>
      <c r="C730" s="439" t="s">
        <v>1860</v>
      </c>
      <c r="D730" s="440" t="s">
        <v>420</v>
      </c>
      <c r="E730" s="398" t="s">
        <v>144</v>
      </c>
      <c r="F730" s="398" t="s">
        <v>0</v>
      </c>
      <c r="G730" s="398"/>
      <c r="H730" s="398" t="s">
        <v>281</v>
      </c>
      <c r="I730" s="401" t="s">
        <v>2673</v>
      </c>
      <c r="J730" s="131" t="str">
        <f t="shared" si="11"/>
        <v>13</v>
      </c>
    </row>
    <row r="731" spans="1:10" s="114" customFormat="1" ht="24" hidden="1" customHeight="1">
      <c r="A731" s="398">
        <v>48</v>
      </c>
      <c r="B731" s="132" t="s">
        <v>2538</v>
      </c>
      <c r="C731" s="439" t="s">
        <v>2539</v>
      </c>
      <c r="D731" s="440" t="s">
        <v>233</v>
      </c>
      <c r="E731" s="398" t="s">
        <v>2540</v>
      </c>
      <c r="F731" s="398" t="s">
        <v>0</v>
      </c>
      <c r="G731" s="398"/>
      <c r="H731" s="398" t="s">
        <v>281</v>
      </c>
      <c r="I731" s="401" t="s">
        <v>2667</v>
      </c>
      <c r="J731" s="131" t="str">
        <f t="shared" si="11"/>
        <v>13</v>
      </c>
    </row>
    <row r="732" spans="1:10" s="114" customFormat="1" ht="24" hidden="1" customHeight="1">
      <c r="A732" s="398">
        <v>49</v>
      </c>
      <c r="B732" s="132" t="s">
        <v>145</v>
      </c>
      <c r="C732" s="439" t="s">
        <v>1775</v>
      </c>
      <c r="D732" s="440" t="s">
        <v>233</v>
      </c>
      <c r="E732" s="398" t="s">
        <v>146</v>
      </c>
      <c r="F732" s="398" t="s">
        <v>0</v>
      </c>
      <c r="G732" s="398"/>
      <c r="H732" s="398" t="s">
        <v>281</v>
      </c>
      <c r="I732" s="401" t="s">
        <v>2674</v>
      </c>
      <c r="J732" s="131" t="str">
        <f t="shared" si="11"/>
        <v>13</v>
      </c>
    </row>
    <row r="733" spans="1:10" s="114" customFormat="1" ht="24" hidden="1" customHeight="1">
      <c r="A733" s="398">
        <v>50</v>
      </c>
      <c r="B733" s="132" t="s">
        <v>147</v>
      </c>
      <c r="C733" s="439" t="s">
        <v>148</v>
      </c>
      <c r="D733" s="440" t="s">
        <v>235</v>
      </c>
      <c r="E733" s="398" t="s">
        <v>149</v>
      </c>
      <c r="F733" s="398" t="s">
        <v>0</v>
      </c>
      <c r="G733" s="398"/>
      <c r="H733" s="398" t="s">
        <v>281</v>
      </c>
      <c r="I733" s="401" t="s">
        <v>2673</v>
      </c>
      <c r="J733" s="131" t="str">
        <f t="shared" si="11"/>
        <v>13</v>
      </c>
    </row>
    <row r="734" spans="1:10" s="114" customFormat="1" ht="24" hidden="1" customHeight="1">
      <c r="A734" s="398">
        <v>51</v>
      </c>
      <c r="B734" s="132" t="s">
        <v>2541</v>
      </c>
      <c r="C734" s="439" t="s">
        <v>2542</v>
      </c>
      <c r="D734" s="440" t="s">
        <v>235</v>
      </c>
      <c r="E734" s="398" t="s">
        <v>2543</v>
      </c>
      <c r="F734" s="398" t="s">
        <v>0</v>
      </c>
      <c r="G734" s="398"/>
      <c r="H734" s="398" t="s">
        <v>281</v>
      </c>
      <c r="I734" s="401" t="s">
        <v>2667</v>
      </c>
      <c r="J734" s="131" t="str">
        <f t="shared" si="11"/>
        <v>13</v>
      </c>
    </row>
    <row r="735" spans="1:10" s="114" customFormat="1" ht="24" hidden="1" customHeight="1">
      <c r="A735" s="398">
        <v>52</v>
      </c>
      <c r="B735" s="132" t="s">
        <v>495</v>
      </c>
      <c r="C735" s="439" t="s">
        <v>2086</v>
      </c>
      <c r="D735" s="440" t="s">
        <v>235</v>
      </c>
      <c r="E735" s="398" t="s">
        <v>1129</v>
      </c>
      <c r="F735" s="398" t="s">
        <v>0</v>
      </c>
      <c r="G735" s="398"/>
      <c r="H735" s="398" t="s">
        <v>281</v>
      </c>
      <c r="I735" s="401" t="s">
        <v>2674</v>
      </c>
      <c r="J735" s="131" t="str">
        <f t="shared" si="11"/>
        <v>13</v>
      </c>
    </row>
    <row r="736" spans="1:10" s="114" customFormat="1" ht="24" hidden="1" customHeight="1">
      <c r="A736" s="398">
        <v>53</v>
      </c>
      <c r="B736" s="132" t="s">
        <v>2544</v>
      </c>
      <c r="C736" s="439" t="s">
        <v>1019</v>
      </c>
      <c r="D736" s="440" t="s">
        <v>1172</v>
      </c>
      <c r="E736" s="398" t="s">
        <v>1124</v>
      </c>
      <c r="F736" s="398" t="s">
        <v>0</v>
      </c>
      <c r="G736" s="398"/>
      <c r="H736" s="398" t="s">
        <v>281</v>
      </c>
      <c r="I736" s="401" t="s">
        <v>2667</v>
      </c>
      <c r="J736" s="131" t="str">
        <f t="shared" si="11"/>
        <v>13</v>
      </c>
    </row>
    <row r="737" spans="1:10" s="114" customFormat="1" ht="24" hidden="1" customHeight="1">
      <c r="A737" s="398">
        <v>54</v>
      </c>
      <c r="B737" s="132" t="s">
        <v>496</v>
      </c>
      <c r="C737" s="439" t="s">
        <v>193</v>
      </c>
      <c r="D737" s="440" t="s">
        <v>2000</v>
      </c>
      <c r="E737" s="398" t="s">
        <v>497</v>
      </c>
      <c r="F737" s="398" t="s">
        <v>0</v>
      </c>
      <c r="G737" s="398"/>
      <c r="H737" s="398" t="s">
        <v>281</v>
      </c>
      <c r="I737" s="401" t="s">
        <v>2674</v>
      </c>
      <c r="J737" s="131" t="str">
        <f t="shared" si="11"/>
        <v>13</v>
      </c>
    </row>
    <row r="738" spans="1:10" s="114" customFormat="1" ht="24" hidden="1" customHeight="1">
      <c r="A738" s="398">
        <v>55</v>
      </c>
      <c r="B738" s="132" t="s">
        <v>498</v>
      </c>
      <c r="C738" s="439" t="s">
        <v>462</v>
      </c>
      <c r="D738" s="440" t="s">
        <v>1178</v>
      </c>
      <c r="E738" s="398" t="s">
        <v>2018</v>
      </c>
      <c r="F738" s="398" t="s">
        <v>0</v>
      </c>
      <c r="G738" s="398"/>
      <c r="H738" s="398" t="s">
        <v>281</v>
      </c>
      <c r="I738" s="401" t="s">
        <v>2674</v>
      </c>
      <c r="J738" s="131" t="str">
        <f t="shared" si="11"/>
        <v>13</v>
      </c>
    </row>
    <row r="739" spans="1:10" s="114" customFormat="1" ht="24" hidden="1" customHeight="1">
      <c r="A739" s="398">
        <v>56</v>
      </c>
      <c r="B739" s="132" t="s">
        <v>499</v>
      </c>
      <c r="C739" s="439" t="s">
        <v>224</v>
      </c>
      <c r="D739" s="440" t="s">
        <v>1794</v>
      </c>
      <c r="E739" s="398" t="s">
        <v>2322</v>
      </c>
      <c r="F739" s="398" t="s">
        <v>0</v>
      </c>
      <c r="G739" s="398"/>
      <c r="H739" s="398" t="s">
        <v>281</v>
      </c>
      <c r="I739" s="401" t="s">
        <v>2673</v>
      </c>
      <c r="J739" s="131" t="str">
        <f t="shared" si="11"/>
        <v>13</v>
      </c>
    </row>
    <row r="740" spans="1:10" s="114" customFormat="1" ht="24" hidden="1" customHeight="1">
      <c r="A740" s="398">
        <v>57</v>
      </c>
      <c r="B740" s="132" t="s">
        <v>500</v>
      </c>
      <c r="C740" s="439" t="s">
        <v>447</v>
      </c>
      <c r="D740" s="440" t="s">
        <v>1040</v>
      </c>
      <c r="E740" s="398" t="s">
        <v>1559</v>
      </c>
      <c r="F740" s="398" t="s">
        <v>0</v>
      </c>
      <c r="G740" s="398"/>
      <c r="H740" s="398" t="s">
        <v>281</v>
      </c>
      <c r="I740" s="401" t="s">
        <v>2674</v>
      </c>
      <c r="J740" s="131" t="str">
        <f t="shared" si="11"/>
        <v>13</v>
      </c>
    </row>
    <row r="741" spans="1:10" s="114" customFormat="1" ht="24" hidden="1" customHeight="1">
      <c r="A741" s="398">
        <v>58</v>
      </c>
      <c r="B741" s="132" t="s">
        <v>501</v>
      </c>
      <c r="C741" s="439" t="s">
        <v>502</v>
      </c>
      <c r="D741" s="440" t="s">
        <v>473</v>
      </c>
      <c r="E741" s="398" t="s">
        <v>503</v>
      </c>
      <c r="F741" s="398" t="s">
        <v>0</v>
      </c>
      <c r="G741" s="398"/>
      <c r="H741" s="398" t="s">
        <v>281</v>
      </c>
      <c r="I741" s="401" t="s">
        <v>2674</v>
      </c>
      <c r="J741" s="131" t="str">
        <f t="shared" si="11"/>
        <v>13</v>
      </c>
    </row>
    <row r="742" spans="1:10" s="114" customFormat="1" ht="24" hidden="1" customHeight="1">
      <c r="A742" s="398">
        <v>59</v>
      </c>
      <c r="B742" s="132" t="s">
        <v>504</v>
      </c>
      <c r="C742" s="439" t="s">
        <v>505</v>
      </c>
      <c r="D742" s="440" t="s">
        <v>237</v>
      </c>
      <c r="E742" s="398" t="s">
        <v>506</v>
      </c>
      <c r="F742" s="398" t="s">
        <v>0</v>
      </c>
      <c r="G742" s="398"/>
      <c r="H742" s="398" t="s">
        <v>486</v>
      </c>
      <c r="I742" s="401" t="s">
        <v>2674</v>
      </c>
      <c r="J742" s="131" t="str">
        <f t="shared" si="11"/>
        <v>13</v>
      </c>
    </row>
    <row r="743" spans="1:10" s="114" customFormat="1" ht="24" hidden="1" customHeight="1">
      <c r="A743" s="398">
        <v>60</v>
      </c>
      <c r="B743" s="132" t="s">
        <v>507</v>
      </c>
      <c r="C743" s="439" t="s">
        <v>201</v>
      </c>
      <c r="D743" s="440" t="s">
        <v>237</v>
      </c>
      <c r="E743" s="398" t="s">
        <v>508</v>
      </c>
      <c r="F743" s="398" t="s">
        <v>0</v>
      </c>
      <c r="G743" s="398"/>
      <c r="H743" s="398" t="s">
        <v>281</v>
      </c>
      <c r="I743" s="401" t="s">
        <v>2673</v>
      </c>
      <c r="J743" s="131" t="str">
        <f t="shared" si="11"/>
        <v>13</v>
      </c>
    </row>
    <row r="744" spans="1:10" s="114" customFormat="1" ht="24" hidden="1" customHeight="1" thickBot="1">
      <c r="A744" s="406">
        <v>61</v>
      </c>
      <c r="B744" s="132" t="s">
        <v>2545</v>
      </c>
      <c r="C744" s="441" t="s">
        <v>1423</v>
      </c>
      <c r="D744" s="442" t="s">
        <v>1489</v>
      </c>
      <c r="E744" s="406" t="s">
        <v>978</v>
      </c>
      <c r="F744" s="406" t="s">
        <v>0</v>
      </c>
      <c r="G744" s="406"/>
      <c r="H744" s="406" t="s">
        <v>281</v>
      </c>
      <c r="I744" s="417" t="s">
        <v>2667</v>
      </c>
      <c r="J744" s="131" t="str">
        <f t="shared" si="11"/>
        <v>13</v>
      </c>
    </row>
    <row r="745" spans="1:10" s="114" customFormat="1" ht="24" hidden="1" customHeight="1">
      <c r="A745" s="408">
        <v>1</v>
      </c>
      <c r="B745" s="132" t="s">
        <v>514</v>
      </c>
      <c r="C745" s="443" t="s">
        <v>515</v>
      </c>
      <c r="D745" s="444" t="s">
        <v>516</v>
      </c>
      <c r="E745" s="408" t="s">
        <v>1310</v>
      </c>
      <c r="F745" s="409" t="s">
        <v>513</v>
      </c>
      <c r="G745" s="408" t="s">
        <v>283</v>
      </c>
      <c r="H745" s="408" t="s">
        <v>281</v>
      </c>
      <c r="I745" s="410"/>
      <c r="J745" s="131" t="str">
        <f t="shared" si="11"/>
        <v>13</v>
      </c>
    </row>
    <row r="746" spans="1:10" s="114" customFormat="1" ht="24" hidden="1" customHeight="1">
      <c r="A746" s="398">
        <v>2</v>
      </c>
      <c r="B746" s="132" t="s">
        <v>511</v>
      </c>
      <c r="C746" s="439" t="s">
        <v>512</v>
      </c>
      <c r="D746" s="440" t="s">
        <v>985</v>
      </c>
      <c r="E746" s="398" t="s">
        <v>407</v>
      </c>
      <c r="F746" s="398" t="s">
        <v>513</v>
      </c>
      <c r="G746" s="398" t="s">
        <v>283</v>
      </c>
      <c r="H746" s="398" t="s">
        <v>281</v>
      </c>
      <c r="I746" s="401"/>
      <c r="J746" s="131" t="str">
        <f t="shared" si="11"/>
        <v>13</v>
      </c>
    </row>
    <row r="747" spans="1:10" s="114" customFormat="1" ht="24" hidden="1" customHeight="1">
      <c r="A747" s="398">
        <v>3</v>
      </c>
      <c r="B747" s="132" t="s">
        <v>517</v>
      </c>
      <c r="C747" s="439" t="s">
        <v>518</v>
      </c>
      <c r="D747" s="440" t="s">
        <v>1149</v>
      </c>
      <c r="E747" s="398" t="s">
        <v>396</v>
      </c>
      <c r="F747" s="398" t="s">
        <v>513</v>
      </c>
      <c r="G747" s="398" t="s">
        <v>283</v>
      </c>
      <c r="H747" s="398" t="s">
        <v>281</v>
      </c>
      <c r="I747" s="401"/>
      <c r="J747" s="131" t="str">
        <f t="shared" si="11"/>
        <v>13</v>
      </c>
    </row>
    <row r="748" spans="1:10" s="114" customFormat="1" ht="24" hidden="1" customHeight="1">
      <c r="A748" s="398">
        <v>4</v>
      </c>
      <c r="B748" s="132" t="s">
        <v>519</v>
      </c>
      <c r="C748" s="439" t="s">
        <v>443</v>
      </c>
      <c r="D748" s="440" t="s">
        <v>1041</v>
      </c>
      <c r="E748" s="398" t="s">
        <v>449</v>
      </c>
      <c r="F748" s="398" t="s">
        <v>513</v>
      </c>
      <c r="G748" s="398" t="s">
        <v>283</v>
      </c>
      <c r="H748" s="423" t="s">
        <v>486</v>
      </c>
      <c r="I748" s="401" t="s">
        <v>336</v>
      </c>
      <c r="J748" s="131" t="str">
        <f t="shared" si="11"/>
        <v>13</v>
      </c>
    </row>
    <row r="749" spans="1:10" s="114" customFormat="1" ht="24" hidden="1" customHeight="1">
      <c r="A749" s="398">
        <v>5</v>
      </c>
      <c r="B749" s="132" t="s">
        <v>520</v>
      </c>
      <c r="C749" s="439" t="s">
        <v>521</v>
      </c>
      <c r="D749" s="440" t="s">
        <v>1184</v>
      </c>
      <c r="E749" s="398" t="s">
        <v>522</v>
      </c>
      <c r="F749" s="398" t="s">
        <v>513</v>
      </c>
      <c r="G749" s="398"/>
      <c r="H749" s="398" t="s">
        <v>281</v>
      </c>
      <c r="I749" s="401"/>
      <c r="J749" s="131" t="str">
        <f t="shared" si="11"/>
        <v>13</v>
      </c>
    </row>
    <row r="750" spans="1:10" s="114" customFormat="1" ht="24" hidden="1" customHeight="1">
      <c r="A750" s="398">
        <v>6</v>
      </c>
      <c r="B750" s="132" t="s">
        <v>523</v>
      </c>
      <c r="C750" s="439" t="s">
        <v>524</v>
      </c>
      <c r="D750" s="440" t="s">
        <v>200</v>
      </c>
      <c r="E750" s="398" t="s">
        <v>2018</v>
      </c>
      <c r="F750" s="398" t="s">
        <v>513</v>
      </c>
      <c r="G750" s="398" t="s">
        <v>283</v>
      </c>
      <c r="H750" s="398" t="s">
        <v>281</v>
      </c>
      <c r="I750" s="401"/>
      <c r="J750" s="131" t="str">
        <f t="shared" si="11"/>
        <v>13</v>
      </c>
    </row>
    <row r="751" spans="1:10" s="114" customFormat="1" ht="24" hidden="1" customHeight="1">
      <c r="A751" s="398">
        <v>7</v>
      </c>
      <c r="B751" s="132" t="s">
        <v>525</v>
      </c>
      <c r="C751" s="439" t="s">
        <v>526</v>
      </c>
      <c r="D751" s="440" t="s">
        <v>527</v>
      </c>
      <c r="E751" s="398" t="s">
        <v>388</v>
      </c>
      <c r="F751" s="398" t="s">
        <v>513</v>
      </c>
      <c r="G751" s="398" t="s">
        <v>283</v>
      </c>
      <c r="H751" s="398" t="s">
        <v>281</v>
      </c>
      <c r="I751" s="401"/>
      <c r="J751" s="131" t="str">
        <f t="shared" si="11"/>
        <v>13</v>
      </c>
    </row>
    <row r="752" spans="1:10" s="114" customFormat="1" ht="24" hidden="1" customHeight="1">
      <c r="A752" s="398">
        <v>8</v>
      </c>
      <c r="B752" s="132" t="s">
        <v>528</v>
      </c>
      <c r="C752" s="439" t="s">
        <v>529</v>
      </c>
      <c r="D752" s="440" t="s">
        <v>530</v>
      </c>
      <c r="E752" s="398" t="s">
        <v>1527</v>
      </c>
      <c r="F752" s="398" t="s">
        <v>513</v>
      </c>
      <c r="G752" s="398" t="s">
        <v>283</v>
      </c>
      <c r="H752" s="398" t="s">
        <v>281</v>
      </c>
      <c r="I752" s="401"/>
      <c r="J752" s="131" t="str">
        <f t="shared" si="11"/>
        <v>13</v>
      </c>
    </row>
    <row r="753" spans="1:10" s="114" customFormat="1" ht="24" hidden="1" customHeight="1">
      <c r="A753" s="398">
        <v>9</v>
      </c>
      <c r="B753" s="132" t="s">
        <v>531</v>
      </c>
      <c r="C753" s="439" t="s">
        <v>515</v>
      </c>
      <c r="D753" s="440" t="s">
        <v>1168</v>
      </c>
      <c r="E753" s="398" t="s">
        <v>532</v>
      </c>
      <c r="F753" s="398" t="s">
        <v>513</v>
      </c>
      <c r="G753" s="398" t="s">
        <v>283</v>
      </c>
      <c r="H753" s="398" t="s">
        <v>281</v>
      </c>
      <c r="I753" s="401"/>
      <c r="J753" s="131" t="str">
        <f t="shared" si="11"/>
        <v>13</v>
      </c>
    </row>
    <row r="754" spans="1:10" s="114" customFormat="1" ht="24" hidden="1" customHeight="1">
      <c r="A754" s="398">
        <v>10</v>
      </c>
      <c r="B754" s="132" t="s">
        <v>533</v>
      </c>
      <c r="C754" s="439" t="s">
        <v>534</v>
      </c>
      <c r="D754" s="440" t="s">
        <v>1185</v>
      </c>
      <c r="E754" s="398" t="s">
        <v>535</v>
      </c>
      <c r="F754" s="398" t="s">
        <v>513</v>
      </c>
      <c r="G754" s="398" t="s">
        <v>283</v>
      </c>
      <c r="H754" s="398" t="s">
        <v>281</v>
      </c>
      <c r="I754" s="401"/>
      <c r="J754" s="131" t="str">
        <f t="shared" si="11"/>
        <v>13</v>
      </c>
    </row>
    <row r="755" spans="1:10" s="114" customFormat="1" ht="24" hidden="1" customHeight="1">
      <c r="A755" s="398">
        <v>11</v>
      </c>
      <c r="B755" s="132" t="s">
        <v>536</v>
      </c>
      <c r="C755" s="439" t="s">
        <v>537</v>
      </c>
      <c r="D755" s="440" t="s">
        <v>1185</v>
      </c>
      <c r="E755" s="398" t="s">
        <v>538</v>
      </c>
      <c r="F755" s="398" t="s">
        <v>513</v>
      </c>
      <c r="G755" s="398" t="s">
        <v>283</v>
      </c>
      <c r="H755" s="398" t="s">
        <v>281</v>
      </c>
      <c r="I755" s="401"/>
      <c r="J755" s="131" t="str">
        <f t="shared" si="11"/>
        <v>13</v>
      </c>
    </row>
    <row r="756" spans="1:10" s="114" customFormat="1" ht="24" hidden="1" customHeight="1">
      <c r="A756" s="398">
        <v>12</v>
      </c>
      <c r="B756" s="132" t="s">
        <v>539</v>
      </c>
      <c r="C756" s="439" t="s">
        <v>540</v>
      </c>
      <c r="D756" s="440" t="s">
        <v>436</v>
      </c>
      <c r="E756" s="398" t="s">
        <v>1498</v>
      </c>
      <c r="F756" s="398" t="s">
        <v>513</v>
      </c>
      <c r="G756" s="398" t="s">
        <v>283</v>
      </c>
      <c r="H756" s="398" t="s">
        <v>281</v>
      </c>
      <c r="I756" s="401"/>
      <c r="J756" s="131" t="str">
        <f t="shared" si="11"/>
        <v>13</v>
      </c>
    </row>
    <row r="757" spans="1:10" s="114" customFormat="1" ht="24" hidden="1" customHeight="1">
      <c r="A757" s="398">
        <v>13</v>
      </c>
      <c r="B757" s="132" t="s">
        <v>492</v>
      </c>
      <c r="C757" s="439" t="s">
        <v>493</v>
      </c>
      <c r="D757" s="440" t="s">
        <v>1186</v>
      </c>
      <c r="E757" s="398" t="s">
        <v>494</v>
      </c>
      <c r="F757" s="398" t="s">
        <v>513</v>
      </c>
      <c r="G757" s="398" t="s">
        <v>283</v>
      </c>
      <c r="H757" s="398" t="s">
        <v>281</v>
      </c>
      <c r="I757" s="420"/>
      <c r="J757" s="131" t="str">
        <f t="shared" si="11"/>
        <v>13</v>
      </c>
    </row>
    <row r="758" spans="1:10" s="114" customFormat="1" ht="24" hidden="1" customHeight="1">
      <c r="A758" s="398">
        <v>14</v>
      </c>
      <c r="B758" s="132" t="s">
        <v>541</v>
      </c>
      <c r="C758" s="439" t="s">
        <v>542</v>
      </c>
      <c r="D758" s="440" t="s">
        <v>1186</v>
      </c>
      <c r="E758" s="398" t="s">
        <v>1549</v>
      </c>
      <c r="F758" s="398" t="s">
        <v>513</v>
      </c>
      <c r="G758" s="398" t="s">
        <v>283</v>
      </c>
      <c r="H758" s="398" t="s">
        <v>486</v>
      </c>
      <c r="I758" s="401"/>
      <c r="J758" s="131" t="str">
        <f t="shared" si="11"/>
        <v>13</v>
      </c>
    </row>
    <row r="759" spans="1:10" s="114" customFormat="1" ht="24" hidden="1" customHeight="1">
      <c r="A759" s="398">
        <v>15</v>
      </c>
      <c r="B759" s="132" t="s">
        <v>543</v>
      </c>
      <c r="C759" s="439" t="s">
        <v>515</v>
      </c>
      <c r="D759" s="440" t="s">
        <v>544</v>
      </c>
      <c r="E759" s="398" t="s">
        <v>1098</v>
      </c>
      <c r="F759" s="398" t="s">
        <v>513</v>
      </c>
      <c r="G759" s="398" t="s">
        <v>283</v>
      </c>
      <c r="H759" s="398" t="s">
        <v>281</v>
      </c>
      <c r="I759" s="401"/>
      <c r="J759" s="131" t="str">
        <f t="shared" si="11"/>
        <v>13</v>
      </c>
    </row>
    <row r="760" spans="1:10" s="114" customFormat="1" ht="24" hidden="1" customHeight="1">
      <c r="A760" s="398">
        <v>16</v>
      </c>
      <c r="B760" s="132" t="s">
        <v>545</v>
      </c>
      <c r="C760" s="439" t="s">
        <v>546</v>
      </c>
      <c r="D760" s="440" t="s">
        <v>1187</v>
      </c>
      <c r="E760" s="398" t="s">
        <v>547</v>
      </c>
      <c r="F760" s="398" t="s">
        <v>513</v>
      </c>
      <c r="G760" s="398" t="s">
        <v>283</v>
      </c>
      <c r="H760" s="398" t="s">
        <v>281</v>
      </c>
      <c r="I760" s="401"/>
      <c r="J760" s="131" t="str">
        <f t="shared" si="11"/>
        <v>13</v>
      </c>
    </row>
    <row r="761" spans="1:10" s="114" customFormat="1" ht="24" hidden="1" customHeight="1">
      <c r="A761" s="398">
        <v>17</v>
      </c>
      <c r="B761" s="132" t="s">
        <v>548</v>
      </c>
      <c r="C761" s="439" t="s">
        <v>549</v>
      </c>
      <c r="D761" s="440" t="s">
        <v>1095</v>
      </c>
      <c r="E761" s="398" t="s">
        <v>464</v>
      </c>
      <c r="F761" s="398" t="s">
        <v>513</v>
      </c>
      <c r="G761" s="398" t="s">
        <v>283</v>
      </c>
      <c r="H761" s="398" t="s">
        <v>281</v>
      </c>
      <c r="I761" s="401"/>
      <c r="J761" s="131" t="str">
        <f t="shared" si="11"/>
        <v>13</v>
      </c>
    </row>
    <row r="762" spans="1:10" s="114" customFormat="1" ht="24" hidden="1" customHeight="1">
      <c r="A762" s="398">
        <v>18</v>
      </c>
      <c r="B762" s="132" t="s">
        <v>550</v>
      </c>
      <c r="C762" s="439" t="s">
        <v>551</v>
      </c>
      <c r="D762" s="440" t="s">
        <v>552</v>
      </c>
      <c r="E762" s="398" t="s">
        <v>974</v>
      </c>
      <c r="F762" s="398" t="s">
        <v>513</v>
      </c>
      <c r="G762" s="398" t="s">
        <v>283</v>
      </c>
      <c r="H762" s="398" t="s">
        <v>281</v>
      </c>
      <c r="I762" s="401"/>
      <c r="J762" s="131" t="str">
        <f t="shared" si="11"/>
        <v>13</v>
      </c>
    </row>
    <row r="763" spans="1:10" s="114" customFormat="1" ht="24" hidden="1" customHeight="1">
      <c r="A763" s="398">
        <v>19</v>
      </c>
      <c r="B763" s="132" t="s">
        <v>553</v>
      </c>
      <c r="C763" s="439" t="s">
        <v>554</v>
      </c>
      <c r="D763" s="440" t="s">
        <v>328</v>
      </c>
      <c r="E763" s="398" t="s">
        <v>995</v>
      </c>
      <c r="F763" s="398" t="s">
        <v>513</v>
      </c>
      <c r="G763" s="398" t="s">
        <v>283</v>
      </c>
      <c r="H763" s="398" t="s">
        <v>281</v>
      </c>
      <c r="I763" s="401"/>
      <c r="J763" s="131" t="str">
        <f t="shared" si="11"/>
        <v>13</v>
      </c>
    </row>
    <row r="764" spans="1:10" s="114" customFormat="1" ht="24" hidden="1" customHeight="1">
      <c r="A764" s="398">
        <v>20</v>
      </c>
      <c r="B764" s="132" t="s">
        <v>555</v>
      </c>
      <c r="C764" s="439" t="s">
        <v>556</v>
      </c>
      <c r="D764" s="440" t="s">
        <v>557</v>
      </c>
      <c r="E764" s="398" t="s">
        <v>1155</v>
      </c>
      <c r="F764" s="398" t="s">
        <v>513</v>
      </c>
      <c r="G764" s="398" t="s">
        <v>283</v>
      </c>
      <c r="H764" s="398" t="s">
        <v>486</v>
      </c>
      <c r="I764" s="401"/>
      <c r="J764" s="131" t="str">
        <f t="shared" si="11"/>
        <v>13</v>
      </c>
    </row>
    <row r="765" spans="1:10" s="114" customFormat="1" ht="24" hidden="1" customHeight="1">
      <c r="A765" s="398">
        <v>21</v>
      </c>
      <c r="B765" s="132" t="s">
        <v>558</v>
      </c>
      <c r="C765" s="439" t="s">
        <v>282</v>
      </c>
      <c r="D765" s="440" t="s">
        <v>329</v>
      </c>
      <c r="E765" s="398" t="s">
        <v>559</v>
      </c>
      <c r="F765" s="398" t="s">
        <v>513</v>
      </c>
      <c r="G765" s="400" t="s">
        <v>360</v>
      </c>
      <c r="H765" s="398" t="s">
        <v>281</v>
      </c>
      <c r="I765" s="401"/>
      <c r="J765" s="131" t="str">
        <f t="shared" si="11"/>
        <v>13</v>
      </c>
    </row>
    <row r="766" spans="1:10" s="114" customFormat="1" ht="24" hidden="1" customHeight="1">
      <c r="A766" s="398">
        <v>22</v>
      </c>
      <c r="B766" s="132" t="s">
        <v>560</v>
      </c>
      <c r="C766" s="439" t="s">
        <v>561</v>
      </c>
      <c r="D766" s="440" t="s">
        <v>331</v>
      </c>
      <c r="E766" s="398" t="s">
        <v>562</v>
      </c>
      <c r="F766" s="398" t="s">
        <v>513</v>
      </c>
      <c r="G766" s="398" t="s">
        <v>283</v>
      </c>
      <c r="H766" s="398" t="s">
        <v>281</v>
      </c>
      <c r="I766" s="401"/>
      <c r="J766" s="131" t="str">
        <f t="shared" si="11"/>
        <v>13</v>
      </c>
    </row>
    <row r="767" spans="1:10" s="114" customFormat="1" ht="24" hidden="1" customHeight="1">
      <c r="A767" s="398">
        <v>23</v>
      </c>
      <c r="B767" s="132" t="s">
        <v>563</v>
      </c>
      <c r="C767" s="439" t="s">
        <v>564</v>
      </c>
      <c r="D767" s="440" t="s">
        <v>565</v>
      </c>
      <c r="E767" s="398" t="s">
        <v>566</v>
      </c>
      <c r="F767" s="398" t="s">
        <v>513</v>
      </c>
      <c r="G767" s="398" t="s">
        <v>283</v>
      </c>
      <c r="H767" s="398" t="s">
        <v>486</v>
      </c>
      <c r="I767" s="401" t="s">
        <v>173</v>
      </c>
      <c r="J767" s="131" t="str">
        <f t="shared" si="11"/>
        <v>13</v>
      </c>
    </row>
    <row r="768" spans="1:10" s="114" customFormat="1" ht="24" hidden="1" customHeight="1">
      <c r="A768" s="398">
        <v>24</v>
      </c>
      <c r="B768" s="132" t="s">
        <v>567</v>
      </c>
      <c r="C768" s="439" t="s">
        <v>568</v>
      </c>
      <c r="D768" s="440" t="s">
        <v>376</v>
      </c>
      <c r="E768" s="398" t="s">
        <v>434</v>
      </c>
      <c r="F768" s="398" t="s">
        <v>513</v>
      </c>
      <c r="G768" s="398" t="s">
        <v>283</v>
      </c>
      <c r="H768" s="398" t="s">
        <v>281</v>
      </c>
      <c r="I768" s="401"/>
      <c r="J768" s="131" t="str">
        <f t="shared" si="11"/>
        <v>13</v>
      </c>
    </row>
    <row r="769" spans="1:10" s="114" customFormat="1" ht="24" hidden="1" customHeight="1">
      <c r="A769" s="398">
        <v>25</v>
      </c>
      <c r="B769" s="132" t="s">
        <v>569</v>
      </c>
      <c r="C769" s="439" t="s">
        <v>570</v>
      </c>
      <c r="D769" s="440" t="s">
        <v>571</v>
      </c>
      <c r="E769" s="398" t="s">
        <v>483</v>
      </c>
      <c r="F769" s="398" t="s">
        <v>513</v>
      </c>
      <c r="G769" s="398" t="s">
        <v>283</v>
      </c>
      <c r="H769" s="398" t="s">
        <v>281</v>
      </c>
      <c r="I769" s="401"/>
      <c r="J769" s="131" t="str">
        <f t="shared" si="11"/>
        <v>13</v>
      </c>
    </row>
    <row r="770" spans="1:10" s="114" customFormat="1" ht="24" hidden="1" customHeight="1">
      <c r="A770" s="398">
        <v>26</v>
      </c>
      <c r="B770" s="132" t="s">
        <v>572</v>
      </c>
      <c r="C770" s="439" t="s">
        <v>573</v>
      </c>
      <c r="D770" s="440" t="s">
        <v>1170</v>
      </c>
      <c r="E770" s="398" t="s">
        <v>574</v>
      </c>
      <c r="F770" s="398" t="s">
        <v>513</v>
      </c>
      <c r="G770" s="398" t="s">
        <v>283</v>
      </c>
      <c r="H770" s="398" t="s">
        <v>281</v>
      </c>
      <c r="I770" s="401"/>
      <c r="J770" s="131" t="str">
        <f t="shared" si="11"/>
        <v>13</v>
      </c>
    </row>
    <row r="771" spans="1:10" s="114" customFormat="1" ht="24" hidden="1" customHeight="1">
      <c r="A771" s="398">
        <v>27</v>
      </c>
      <c r="B771" s="132" t="s">
        <v>575</v>
      </c>
      <c r="C771" s="439" t="s">
        <v>576</v>
      </c>
      <c r="D771" s="440" t="s">
        <v>334</v>
      </c>
      <c r="E771" s="398" t="s">
        <v>2043</v>
      </c>
      <c r="F771" s="398" t="s">
        <v>513</v>
      </c>
      <c r="G771" s="398" t="s">
        <v>283</v>
      </c>
      <c r="H771" s="398" t="s">
        <v>281</v>
      </c>
      <c r="I771" s="401"/>
      <c r="J771" s="131" t="str">
        <f t="shared" ref="J771:J834" si="12">LEFT(F771,2)</f>
        <v>13</v>
      </c>
    </row>
    <row r="772" spans="1:10" s="114" customFormat="1" ht="24" hidden="1" customHeight="1">
      <c r="A772" s="398">
        <v>28</v>
      </c>
      <c r="B772" s="132" t="s">
        <v>577</v>
      </c>
      <c r="C772" s="439" t="s">
        <v>578</v>
      </c>
      <c r="D772" s="440" t="s">
        <v>1188</v>
      </c>
      <c r="E772" s="398" t="s">
        <v>1189</v>
      </c>
      <c r="F772" s="398" t="s">
        <v>513</v>
      </c>
      <c r="G772" s="398" t="s">
        <v>283</v>
      </c>
      <c r="H772" s="398" t="s">
        <v>281</v>
      </c>
      <c r="I772" s="401"/>
      <c r="J772" s="131" t="str">
        <f t="shared" si="12"/>
        <v>13</v>
      </c>
    </row>
    <row r="773" spans="1:10" s="114" customFormat="1" ht="24" hidden="1" customHeight="1">
      <c r="A773" s="398">
        <v>29</v>
      </c>
      <c r="B773" s="132" t="s">
        <v>579</v>
      </c>
      <c r="C773" s="439" t="s">
        <v>580</v>
      </c>
      <c r="D773" s="440" t="s">
        <v>581</v>
      </c>
      <c r="E773" s="398" t="s">
        <v>1766</v>
      </c>
      <c r="F773" s="398" t="s">
        <v>513</v>
      </c>
      <c r="G773" s="398" t="s">
        <v>283</v>
      </c>
      <c r="H773" s="398" t="s">
        <v>281</v>
      </c>
      <c r="I773" s="401"/>
      <c r="J773" s="131" t="str">
        <f t="shared" si="12"/>
        <v>13</v>
      </c>
    </row>
    <row r="774" spans="1:10" s="114" customFormat="1" ht="24" hidden="1" customHeight="1">
      <c r="A774" s="398">
        <v>30</v>
      </c>
      <c r="B774" s="132" t="s">
        <v>582</v>
      </c>
      <c r="C774" s="439" t="s">
        <v>583</v>
      </c>
      <c r="D774" s="440" t="s">
        <v>584</v>
      </c>
      <c r="E774" s="398" t="s">
        <v>2503</v>
      </c>
      <c r="F774" s="398" t="s">
        <v>513</v>
      </c>
      <c r="G774" s="398" t="s">
        <v>283</v>
      </c>
      <c r="H774" s="398" t="s">
        <v>281</v>
      </c>
      <c r="I774" s="401"/>
      <c r="J774" s="131" t="str">
        <f t="shared" si="12"/>
        <v>13</v>
      </c>
    </row>
    <row r="775" spans="1:10" s="114" customFormat="1" ht="24" hidden="1" customHeight="1">
      <c r="A775" s="398">
        <v>31</v>
      </c>
      <c r="B775" s="132" t="s">
        <v>585</v>
      </c>
      <c r="C775" s="439" t="s">
        <v>586</v>
      </c>
      <c r="D775" s="440" t="s">
        <v>584</v>
      </c>
      <c r="E775" s="398" t="s">
        <v>980</v>
      </c>
      <c r="F775" s="398" t="s">
        <v>513</v>
      </c>
      <c r="G775" s="398" t="s">
        <v>283</v>
      </c>
      <c r="H775" s="398" t="s">
        <v>281</v>
      </c>
      <c r="I775" s="401" t="s">
        <v>330</v>
      </c>
      <c r="J775" s="131" t="str">
        <f t="shared" si="12"/>
        <v>13</v>
      </c>
    </row>
    <row r="776" spans="1:10" s="114" customFormat="1" ht="24" hidden="1" customHeight="1">
      <c r="A776" s="398">
        <v>32</v>
      </c>
      <c r="B776" s="132" t="s">
        <v>587</v>
      </c>
      <c r="C776" s="439" t="s">
        <v>588</v>
      </c>
      <c r="D776" s="440" t="s">
        <v>217</v>
      </c>
      <c r="E776" s="398" t="s">
        <v>1082</v>
      </c>
      <c r="F776" s="398" t="s">
        <v>513</v>
      </c>
      <c r="G776" s="398" t="s">
        <v>283</v>
      </c>
      <c r="H776" s="398" t="s">
        <v>281</v>
      </c>
      <c r="I776" s="401"/>
      <c r="J776" s="131" t="str">
        <f t="shared" si="12"/>
        <v>13</v>
      </c>
    </row>
    <row r="777" spans="1:10" s="114" customFormat="1" ht="24" hidden="1" customHeight="1">
      <c r="A777" s="398">
        <v>33</v>
      </c>
      <c r="B777" s="132" t="s">
        <v>589</v>
      </c>
      <c r="C777" s="439" t="s">
        <v>1190</v>
      </c>
      <c r="D777" s="440" t="s">
        <v>590</v>
      </c>
      <c r="E777" s="398" t="s">
        <v>2109</v>
      </c>
      <c r="F777" s="398" t="s">
        <v>513</v>
      </c>
      <c r="G777" s="398" t="s">
        <v>283</v>
      </c>
      <c r="H777" s="398" t="s">
        <v>281</v>
      </c>
      <c r="I777" s="401"/>
      <c r="J777" s="131" t="str">
        <f t="shared" si="12"/>
        <v>13</v>
      </c>
    </row>
    <row r="778" spans="1:10" s="114" customFormat="1" ht="24" hidden="1" customHeight="1">
      <c r="A778" s="398">
        <v>34</v>
      </c>
      <c r="B778" s="132" t="s">
        <v>591</v>
      </c>
      <c r="C778" s="439" t="s">
        <v>2140</v>
      </c>
      <c r="D778" s="440" t="s">
        <v>383</v>
      </c>
      <c r="E778" s="398" t="s">
        <v>1130</v>
      </c>
      <c r="F778" s="398" t="s">
        <v>513</v>
      </c>
      <c r="G778" s="398"/>
      <c r="H778" s="398" t="s">
        <v>486</v>
      </c>
      <c r="I778" s="401"/>
      <c r="J778" s="131" t="str">
        <f t="shared" si="12"/>
        <v>13</v>
      </c>
    </row>
    <row r="779" spans="1:10" s="114" customFormat="1" ht="24" hidden="1" customHeight="1">
      <c r="A779" s="398">
        <v>35</v>
      </c>
      <c r="B779" s="132" t="s">
        <v>592</v>
      </c>
      <c r="C779" s="439" t="s">
        <v>593</v>
      </c>
      <c r="D779" s="440" t="s">
        <v>1037</v>
      </c>
      <c r="E779" s="398" t="s">
        <v>594</v>
      </c>
      <c r="F779" s="398" t="s">
        <v>513</v>
      </c>
      <c r="G779" s="398" t="s">
        <v>283</v>
      </c>
      <c r="H779" s="398" t="s">
        <v>281</v>
      </c>
      <c r="I779" s="401"/>
      <c r="J779" s="131" t="str">
        <f t="shared" si="12"/>
        <v>13</v>
      </c>
    </row>
    <row r="780" spans="1:10" s="114" customFormat="1" ht="24" hidden="1" customHeight="1">
      <c r="A780" s="398">
        <v>36</v>
      </c>
      <c r="B780" s="132" t="s">
        <v>595</v>
      </c>
      <c r="C780" s="439" t="s">
        <v>596</v>
      </c>
      <c r="D780" s="440" t="s">
        <v>446</v>
      </c>
      <c r="E780" s="398" t="s">
        <v>466</v>
      </c>
      <c r="F780" s="398" t="s">
        <v>513</v>
      </c>
      <c r="G780" s="398" t="s">
        <v>283</v>
      </c>
      <c r="H780" s="398" t="s">
        <v>281</v>
      </c>
      <c r="I780" s="401"/>
      <c r="J780" s="131" t="str">
        <f t="shared" si="12"/>
        <v>13</v>
      </c>
    </row>
    <row r="781" spans="1:10" s="114" customFormat="1" ht="24" hidden="1" customHeight="1">
      <c r="A781" s="398">
        <v>37</v>
      </c>
      <c r="B781" s="132" t="s">
        <v>597</v>
      </c>
      <c r="C781" s="439" t="s">
        <v>598</v>
      </c>
      <c r="D781" s="440" t="s">
        <v>417</v>
      </c>
      <c r="E781" s="398" t="s">
        <v>599</v>
      </c>
      <c r="F781" s="398" t="s">
        <v>513</v>
      </c>
      <c r="G781" s="398" t="s">
        <v>283</v>
      </c>
      <c r="H781" s="398" t="s">
        <v>281</v>
      </c>
      <c r="I781" s="401"/>
      <c r="J781" s="131" t="str">
        <f t="shared" si="12"/>
        <v>13</v>
      </c>
    </row>
    <row r="782" spans="1:10" s="114" customFormat="1" ht="24" hidden="1" customHeight="1">
      <c r="A782" s="398">
        <v>38</v>
      </c>
      <c r="B782" s="132" t="s">
        <v>600</v>
      </c>
      <c r="C782" s="439" t="s">
        <v>556</v>
      </c>
      <c r="D782" s="440" t="s">
        <v>417</v>
      </c>
      <c r="E782" s="398" t="s">
        <v>1191</v>
      </c>
      <c r="F782" s="398" t="s">
        <v>513</v>
      </c>
      <c r="G782" s="398" t="s">
        <v>283</v>
      </c>
      <c r="H782" s="398" t="s">
        <v>486</v>
      </c>
      <c r="I782" s="401"/>
      <c r="J782" s="131" t="str">
        <f t="shared" si="12"/>
        <v>13</v>
      </c>
    </row>
    <row r="783" spans="1:10" s="114" customFormat="1" ht="24" hidden="1" customHeight="1">
      <c r="A783" s="398">
        <v>39</v>
      </c>
      <c r="B783" s="132" t="s">
        <v>601</v>
      </c>
      <c r="C783" s="439" t="s">
        <v>602</v>
      </c>
      <c r="D783" s="440" t="s">
        <v>417</v>
      </c>
      <c r="E783" s="398" t="s">
        <v>599</v>
      </c>
      <c r="F783" s="398" t="s">
        <v>513</v>
      </c>
      <c r="G783" s="398" t="s">
        <v>283</v>
      </c>
      <c r="H783" s="398" t="s">
        <v>281</v>
      </c>
      <c r="I783" s="401"/>
      <c r="J783" s="131" t="str">
        <f t="shared" si="12"/>
        <v>13</v>
      </c>
    </row>
    <row r="784" spans="1:10" s="114" customFormat="1" ht="24" hidden="1" customHeight="1">
      <c r="A784" s="398">
        <v>40</v>
      </c>
      <c r="B784" s="132" t="s">
        <v>603</v>
      </c>
      <c r="C784" s="439" t="s">
        <v>604</v>
      </c>
      <c r="D784" s="440" t="s">
        <v>417</v>
      </c>
      <c r="E784" s="398" t="s">
        <v>605</v>
      </c>
      <c r="F784" s="398" t="s">
        <v>513</v>
      </c>
      <c r="G784" s="398" t="s">
        <v>283</v>
      </c>
      <c r="H784" s="398" t="s">
        <v>281</v>
      </c>
      <c r="I784" s="401"/>
      <c r="J784" s="131" t="str">
        <f t="shared" si="12"/>
        <v>13</v>
      </c>
    </row>
    <row r="785" spans="1:10" s="114" customFormat="1" ht="24" hidden="1" customHeight="1">
      <c r="A785" s="398">
        <v>41</v>
      </c>
      <c r="B785" s="132" t="s">
        <v>608</v>
      </c>
      <c r="C785" s="439" t="s">
        <v>609</v>
      </c>
      <c r="D785" s="440" t="s">
        <v>1161</v>
      </c>
      <c r="E785" s="398" t="s">
        <v>1427</v>
      </c>
      <c r="F785" s="398" t="s">
        <v>513</v>
      </c>
      <c r="G785" s="398" t="s">
        <v>283</v>
      </c>
      <c r="H785" s="398" t="s">
        <v>281</v>
      </c>
      <c r="I785" s="401"/>
      <c r="J785" s="131" t="str">
        <f t="shared" si="12"/>
        <v>13</v>
      </c>
    </row>
    <row r="786" spans="1:10" s="114" customFormat="1" ht="24" hidden="1" customHeight="1">
      <c r="A786" s="398">
        <v>42</v>
      </c>
      <c r="B786" s="132" t="s">
        <v>606</v>
      </c>
      <c r="C786" s="439" t="s">
        <v>607</v>
      </c>
      <c r="D786" s="440" t="s">
        <v>1086</v>
      </c>
      <c r="E786" s="398" t="s">
        <v>1021</v>
      </c>
      <c r="F786" s="398" t="s">
        <v>513</v>
      </c>
      <c r="G786" s="398" t="s">
        <v>283</v>
      </c>
      <c r="H786" s="398" t="s">
        <v>281</v>
      </c>
      <c r="I786" s="401"/>
      <c r="J786" s="131" t="str">
        <f t="shared" si="12"/>
        <v>13</v>
      </c>
    </row>
    <row r="787" spans="1:10" s="114" customFormat="1" ht="24" hidden="1" customHeight="1">
      <c r="A787" s="398">
        <v>43</v>
      </c>
      <c r="B787" s="132" t="s">
        <v>610</v>
      </c>
      <c r="C787" s="439" t="s">
        <v>2034</v>
      </c>
      <c r="D787" s="440" t="s">
        <v>1171</v>
      </c>
      <c r="E787" s="398" t="s">
        <v>1923</v>
      </c>
      <c r="F787" s="398" t="s">
        <v>513</v>
      </c>
      <c r="G787" s="398"/>
      <c r="H787" s="398" t="s">
        <v>281</v>
      </c>
      <c r="I787" s="401"/>
      <c r="J787" s="131" t="str">
        <f t="shared" si="12"/>
        <v>13</v>
      </c>
    </row>
    <row r="788" spans="1:10" s="114" customFormat="1" ht="24" hidden="1" customHeight="1">
      <c r="A788" s="398">
        <v>44</v>
      </c>
      <c r="B788" s="132" t="s">
        <v>611</v>
      </c>
      <c r="C788" s="439" t="s">
        <v>612</v>
      </c>
      <c r="D788" s="440" t="s">
        <v>613</v>
      </c>
      <c r="E788" s="398" t="s">
        <v>1026</v>
      </c>
      <c r="F788" s="398" t="s">
        <v>513</v>
      </c>
      <c r="G788" s="398" t="s">
        <v>283</v>
      </c>
      <c r="H788" s="398" t="s">
        <v>281</v>
      </c>
      <c r="I788" s="401"/>
      <c r="J788" s="131" t="str">
        <f t="shared" si="12"/>
        <v>13</v>
      </c>
    </row>
    <row r="789" spans="1:10" s="114" customFormat="1" ht="24" hidden="1" customHeight="1">
      <c r="A789" s="398">
        <v>45</v>
      </c>
      <c r="B789" s="132" t="s">
        <v>614</v>
      </c>
      <c r="C789" s="439" t="s">
        <v>615</v>
      </c>
      <c r="D789" s="440" t="s">
        <v>418</v>
      </c>
      <c r="E789" s="398" t="s">
        <v>978</v>
      </c>
      <c r="F789" s="398" t="s">
        <v>513</v>
      </c>
      <c r="G789" s="398" t="s">
        <v>283</v>
      </c>
      <c r="H789" s="398" t="s">
        <v>281</v>
      </c>
      <c r="I789" s="401"/>
      <c r="J789" s="131" t="str">
        <f t="shared" si="12"/>
        <v>13</v>
      </c>
    </row>
    <row r="790" spans="1:10" s="114" customFormat="1" ht="24" hidden="1" customHeight="1">
      <c r="A790" s="398">
        <v>46</v>
      </c>
      <c r="B790" s="132" t="s">
        <v>616</v>
      </c>
      <c r="C790" s="439" t="s">
        <v>617</v>
      </c>
      <c r="D790" s="440" t="s">
        <v>618</v>
      </c>
      <c r="E790" s="398" t="s">
        <v>1192</v>
      </c>
      <c r="F790" s="398" t="s">
        <v>513</v>
      </c>
      <c r="G790" s="398" t="s">
        <v>283</v>
      </c>
      <c r="H790" s="398" t="s">
        <v>281</v>
      </c>
      <c r="I790" s="401" t="s">
        <v>173</v>
      </c>
      <c r="J790" s="131" t="str">
        <f t="shared" si="12"/>
        <v>13</v>
      </c>
    </row>
    <row r="791" spans="1:10" s="114" customFormat="1" ht="24" hidden="1" customHeight="1">
      <c r="A791" s="398">
        <v>47</v>
      </c>
      <c r="B791" s="132" t="s">
        <v>619</v>
      </c>
      <c r="C791" s="439" t="s">
        <v>1219</v>
      </c>
      <c r="D791" s="440" t="s">
        <v>620</v>
      </c>
      <c r="E791" s="398" t="s">
        <v>1971</v>
      </c>
      <c r="F791" s="398" t="s">
        <v>513</v>
      </c>
      <c r="G791" s="398" t="s">
        <v>283</v>
      </c>
      <c r="H791" s="398" t="s">
        <v>486</v>
      </c>
      <c r="I791" s="401"/>
      <c r="J791" s="131" t="str">
        <f t="shared" si="12"/>
        <v>13</v>
      </c>
    </row>
    <row r="792" spans="1:10" s="114" customFormat="1" ht="24" hidden="1" customHeight="1">
      <c r="A792" s="398">
        <v>48</v>
      </c>
      <c r="B792" s="132" t="s">
        <v>621</v>
      </c>
      <c r="C792" s="439" t="s">
        <v>622</v>
      </c>
      <c r="D792" s="440" t="s">
        <v>1782</v>
      </c>
      <c r="E792" s="398" t="s">
        <v>623</v>
      </c>
      <c r="F792" s="398" t="s">
        <v>513</v>
      </c>
      <c r="G792" s="398" t="s">
        <v>283</v>
      </c>
      <c r="H792" s="398" t="s">
        <v>281</v>
      </c>
      <c r="I792" s="401" t="s">
        <v>173</v>
      </c>
      <c r="J792" s="131" t="str">
        <f t="shared" si="12"/>
        <v>13</v>
      </c>
    </row>
    <row r="793" spans="1:10" s="114" customFormat="1" ht="24" hidden="1" customHeight="1">
      <c r="A793" s="398">
        <v>49</v>
      </c>
      <c r="B793" s="132" t="s">
        <v>624</v>
      </c>
      <c r="C793" s="439" t="s">
        <v>625</v>
      </c>
      <c r="D793" s="440" t="s">
        <v>1193</v>
      </c>
      <c r="E793" s="398" t="s">
        <v>434</v>
      </c>
      <c r="F793" s="398" t="s">
        <v>513</v>
      </c>
      <c r="G793" s="398" t="s">
        <v>283</v>
      </c>
      <c r="H793" s="398" t="s">
        <v>281</v>
      </c>
      <c r="I793" s="401"/>
      <c r="J793" s="131" t="str">
        <f t="shared" si="12"/>
        <v>13</v>
      </c>
    </row>
    <row r="794" spans="1:10" s="114" customFormat="1" ht="24" hidden="1" customHeight="1">
      <c r="A794" s="398">
        <v>50</v>
      </c>
      <c r="B794" s="132" t="s">
        <v>626</v>
      </c>
      <c r="C794" s="439" t="s">
        <v>627</v>
      </c>
      <c r="D794" s="440" t="s">
        <v>1193</v>
      </c>
      <c r="E794" s="398" t="s">
        <v>532</v>
      </c>
      <c r="F794" s="398" t="s">
        <v>513</v>
      </c>
      <c r="G794" s="398" t="s">
        <v>283</v>
      </c>
      <c r="H794" s="398" t="s">
        <v>281</v>
      </c>
      <c r="I794" s="401"/>
      <c r="J794" s="131" t="str">
        <f t="shared" si="12"/>
        <v>13</v>
      </c>
    </row>
    <row r="795" spans="1:10" s="114" customFormat="1" ht="24" hidden="1" customHeight="1">
      <c r="A795" s="398">
        <v>51</v>
      </c>
      <c r="B795" s="132" t="s">
        <v>628</v>
      </c>
      <c r="C795" s="439" t="s">
        <v>537</v>
      </c>
      <c r="D795" s="440" t="s">
        <v>1194</v>
      </c>
      <c r="E795" s="398" t="s">
        <v>444</v>
      </c>
      <c r="F795" s="398" t="s">
        <v>513</v>
      </c>
      <c r="G795" s="398" t="s">
        <v>283</v>
      </c>
      <c r="H795" s="398" t="s">
        <v>281</v>
      </c>
      <c r="I795" s="401"/>
      <c r="J795" s="131" t="str">
        <f t="shared" si="12"/>
        <v>13</v>
      </c>
    </row>
    <row r="796" spans="1:10" s="114" customFormat="1" ht="24" hidden="1" customHeight="1">
      <c r="A796" s="398">
        <v>52</v>
      </c>
      <c r="B796" s="132" t="s">
        <v>629</v>
      </c>
      <c r="C796" s="439" t="s">
        <v>630</v>
      </c>
      <c r="D796" s="440" t="s">
        <v>631</v>
      </c>
      <c r="E796" s="398" t="s">
        <v>1712</v>
      </c>
      <c r="F796" s="398" t="s">
        <v>513</v>
      </c>
      <c r="G796" s="398" t="s">
        <v>283</v>
      </c>
      <c r="H796" s="398" t="s">
        <v>486</v>
      </c>
      <c r="I796" s="401"/>
      <c r="J796" s="131" t="str">
        <f t="shared" si="12"/>
        <v>13</v>
      </c>
    </row>
    <row r="797" spans="1:10" s="114" customFormat="1" ht="24" hidden="1" customHeight="1">
      <c r="A797" s="398">
        <v>53</v>
      </c>
      <c r="B797" s="132" t="s">
        <v>632</v>
      </c>
      <c r="C797" s="439" t="s">
        <v>586</v>
      </c>
      <c r="D797" s="440" t="s">
        <v>1195</v>
      </c>
      <c r="E797" s="398" t="s">
        <v>1823</v>
      </c>
      <c r="F797" s="398" t="s">
        <v>513</v>
      </c>
      <c r="G797" s="398" t="s">
        <v>283</v>
      </c>
      <c r="H797" s="398" t="s">
        <v>281</v>
      </c>
      <c r="I797" s="401"/>
      <c r="J797" s="131" t="str">
        <f t="shared" si="12"/>
        <v>13</v>
      </c>
    </row>
    <row r="798" spans="1:10" s="114" customFormat="1" ht="24" hidden="1" customHeight="1">
      <c r="A798" s="398">
        <v>54</v>
      </c>
      <c r="B798" s="132" t="s">
        <v>633</v>
      </c>
      <c r="C798" s="439" t="s">
        <v>634</v>
      </c>
      <c r="D798" s="440" t="s">
        <v>635</v>
      </c>
      <c r="E798" s="398" t="s">
        <v>506</v>
      </c>
      <c r="F798" s="398" t="s">
        <v>513</v>
      </c>
      <c r="G798" s="398" t="s">
        <v>283</v>
      </c>
      <c r="H798" s="398" t="s">
        <v>281</v>
      </c>
      <c r="I798" s="401"/>
      <c r="J798" s="131" t="str">
        <f t="shared" si="12"/>
        <v>13</v>
      </c>
    </row>
    <row r="799" spans="1:10" s="114" customFormat="1" ht="24" hidden="1" customHeight="1">
      <c r="A799" s="398">
        <v>55</v>
      </c>
      <c r="B799" s="132" t="s">
        <v>636</v>
      </c>
      <c r="C799" s="439" t="s">
        <v>637</v>
      </c>
      <c r="D799" s="440" t="s">
        <v>1489</v>
      </c>
      <c r="E799" s="398" t="s">
        <v>1179</v>
      </c>
      <c r="F799" s="398" t="s">
        <v>513</v>
      </c>
      <c r="G799" s="398" t="s">
        <v>283</v>
      </c>
      <c r="H799" s="398" t="s">
        <v>281</v>
      </c>
      <c r="I799" s="401"/>
      <c r="J799" s="131" t="str">
        <f t="shared" si="12"/>
        <v>13</v>
      </c>
    </row>
    <row r="800" spans="1:10" s="114" customFormat="1" ht="24" hidden="1" customHeight="1" thickBot="1">
      <c r="A800" s="406">
        <v>56</v>
      </c>
      <c r="B800" s="132" t="s">
        <v>638</v>
      </c>
      <c r="C800" s="441" t="s">
        <v>639</v>
      </c>
      <c r="D800" s="442" t="s">
        <v>1017</v>
      </c>
      <c r="E800" s="406" t="s">
        <v>1572</v>
      </c>
      <c r="F800" s="406" t="s">
        <v>513</v>
      </c>
      <c r="G800" s="406" t="s">
        <v>283</v>
      </c>
      <c r="H800" s="406" t="s">
        <v>281</v>
      </c>
      <c r="I800" s="417"/>
      <c r="J800" s="131" t="str">
        <f t="shared" si="12"/>
        <v>13</v>
      </c>
    </row>
    <row r="801" spans="1:10" s="114" customFormat="1" ht="24" hidden="1" customHeight="1">
      <c r="A801" s="408">
        <v>1</v>
      </c>
      <c r="B801" s="132" t="s">
        <v>640</v>
      </c>
      <c r="C801" s="443" t="s">
        <v>641</v>
      </c>
      <c r="D801" s="444" t="s">
        <v>985</v>
      </c>
      <c r="E801" s="408" t="s">
        <v>642</v>
      </c>
      <c r="F801" s="409" t="s">
        <v>643</v>
      </c>
      <c r="G801" s="422" t="s">
        <v>336</v>
      </c>
      <c r="H801" s="408" t="s">
        <v>486</v>
      </c>
      <c r="I801" s="410"/>
      <c r="J801" s="131" t="str">
        <f t="shared" si="12"/>
        <v>13</v>
      </c>
    </row>
    <row r="802" spans="1:10" s="114" customFormat="1" ht="24" hidden="1" customHeight="1">
      <c r="A802" s="398">
        <v>2</v>
      </c>
      <c r="B802" s="132" t="s">
        <v>644</v>
      </c>
      <c r="C802" s="439" t="s">
        <v>198</v>
      </c>
      <c r="D802" s="440" t="s">
        <v>425</v>
      </c>
      <c r="E802" s="398" t="s">
        <v>1606</v>
      </c>
      <c r="F802" s="398" t="s">
        <v>643</v>
      </c>
      <c r="G802" s="398"/>
      <c r="H802" s="398" t="s">
        <v>486</v>
      </c>
      <c r="I802" s="401" t="s">
        <v>645</v>
      </c>
      <c r="J802" s="131" t="str">
        <f t="shared" si="12"/>
        <v>13</v>
      </c>
    </row>
    <row r="803" spans="1:10" s="115" customFormat="1" ht="24" hidden="1" customHeight="1">
      <c r="A803" s="398">
        <v>3</v>
      </c>
      <c r="B803" s="132" t="s">
        <v>646</v>
      </c>
      <c r="C803" s="439" t="s">
        <v>198</v>
      </c>
      <c r="D803" s="440" t="s">
        <v>362</v>
      </c>
      <c r="E803" s="398" t="s">
        <v>1196</v>
      </c>
      <c r="F803" s="398" t="s">
        <v>643</v>
      </c>
      <c r="G803" s="398"/>
      <c r="H803" s="398" t="s">
        <v>281</v>
      </c>
      <c r="I803" s="401"/>
      <c r="J803" s="131" t="str">
        <f t="shared" si="12"/>
        <v>13</v>
      </c>
    </row>
    <row r="804" spans="1:10" s="114" customFormat="1" ht="24" hidden="1" customHeight="1">
      <c r="A804" s="398">
        <v>4</v>
      </c>
      <c r="B804" s="132" t="s">
        <v>647</v>
      </c>
      <c r="C804" s="439" t="s">
        <v>1190</v>
      </c>
      <c r="D804" s="440" t="s">
        <v>1265</v>
      </c>
      <c r="E804" s="398" t="s">
        <v>1300</v>
      </c>
      <c r="F804" s="398" t="s">
        <v>643</v>
      </c>
      <c r="G804" s="398" t="s">
        <v>283</v>
      </c>
      <c r="H804" s="398" t="s">
        <v>281</v>
      </c>
      <c r="I804" s="401" t="s">
        <v>648</v>
      </c>
      <c r="J804" s="131" t="str">
        <f t="shared" si="12"/>
        <v>13</v>
      </c>
    </row>
    <row r="805" spans="1:10" s="114" customFormat="1" ht="24" hidden="1" customHeight="1">
      <c r="A805" s="398">
        <v>5</v>
      </c>
      <c r="B805" s="132" t="s">
        <v>649</v>
      </c>
      <c r="C805" s="439" t="s">
        <v>1197</v>
      </c>
      <c r="D805" s="440" t="s">
        <v>1093</v>
      </c>
      <c r="E805" s="398">
        <v>1994</v>
      </c>
      <c r="F805" s="398" t="s">
        <v>643</v>
      </c>
      <c r="G805" s="400" t="s">
        <v>650</v>
      </c>
      <c r="H805" s="398" t="s">
        <v>281</v>
      </c>
      <c r="I805" s="401"/>
      <c r="J805" s="131" t="str">
        <f t="shared" si="12"/>
        <v>13</v>
      </c>
    </row>
    <row r="806" spans="1:10" s="114" customFormat="1" ht="24" hidden="1" customHeight="1">
      <c r="A806" s="398">
        <v>6</v>
      </c>
      <c r="B806" s="132" t="s">
        <v>655</v>
      </c>
      <c r="C806" s="439" t="s">
        <v>656</v>
      </c>
      <c r="D806" s="440" t="s">
        <v>1127</v>
      </c>
      <c r="E806" s="398" t="s">
        <v>2211</v>
      </c>
      <c r="F806" s="398" t="s">
        <v>643</v>
      </c>
      <c r="G806" s="398"/>
      <c r="H806" s="398" t="s">
        <v>281</v>
      </c>
      <c r="I806" s="401" t="s">
        <v>645</v>
      </c>
      <c r="J806" s="131" t="str">
        <f t="shared" si="12"/>
        <v>13</v>
      </c>
    </row>
    <row r="807" spans="1:10" s="114" customFormat="1" ht="24" hidden="1" customHeight="1">
      <c r="A807" s="398">
        <v>7</v>
      </c>
      <c r="B807" s="132" t="s">
        <v>657</v>
      </c>
      <c r="C807" s="439" t="s">
        <v>658</v>
      </c>
      <c r="D807" s="440" t="s">
        <v>291</v>
      </c>
      <c r="E807" s="398" t="s">
        <v>1861</v>
      </c>
      <c r="F807" s="398" t="s">
        <v>643</v>
      </c>
      <c r="G807" s="400"/>
      <c r="H807" s="398" t="s">
        <v>486</v>
      </c>
      <c r="I807" s="401" t="s">
        <v>172</v>
      </c>
      <c r="J807" s="131" t="str">
        <f t="shared" si="12"/>
        <v>13</v>
      </c>
    </row>
    <row r="808" spans="1:10" s="114" customFormat="1" ht="24" hidden="1" customHeight="1">
      <c r="A808" s="398">
        <v>8</v>
      </c>
      <c r="B808" s="132" t="s">
        <v>651</v>
      </c>
      <c r="C808" s="439" t="s">
        <v>652</v>
      </c>
      <c r="D808" s="440" t="s">
        <v>287</v>
      </c>
      <c r="E808" s="398" t="s">
        <v>1129</v>
      </c>
      <c r="F808" s="398" t="s">
        <v>643</v>
      </c>
      <c r="G808" s="398"/>
      <c r="H808" s="398" t="s">
        <v>281</v>
      </c>
      <c r="I808" s="401" t="s">
        <v>2677</v>
      </c>
      <c r="J808" s="131" t="str">
        <f t="shared" si="12"/>
        <v>13</v>
      </c>
    </row>
    <row r="809" spans="1:10" s="114" customFormat="1" ht="24" hidden="1" customHeight="1">
      <c r="A809" s="398">
        <v>9</v>
      </c>
      <c r="B809" s="132" t="s">
        <v>653</v>
      </c>
      <c r="C809" s="439" t="s">
        <v>654</v>
      </c>
      <c r="D809" s="440" t="s">
        <v>287</v>
      </c>
      <c r="E809" s="398" t="s">
        <v>149</v>
      </c>
      <c r="F809" s="398" t="s">
        <v>643</v>
      </c>
      <c r="G809" s="398"/>
      <c r="H809" s="398" t="s">
        <v>281</v>
      </c>
      <c r="I809" s="401"/>
      <c r="J809" s="131" t="str">
        <f t="shared" si="12"/>
        <v>13</v>
      </c>
    </row>
    <row r="810" spans="1:10" s="114" customFormat="1" ht="24" hidden="1" customHeight="1">
      <c r="A810" s="398">
        <v>10</v>
      </c>
      <c r="B810" s="132" t="s">
        <v>659</v>
      </c>
      <c r="C810" s="439" t="s">
        <v>660</v>
      </c>
      <c r="D810" s="440" t="s">
        <v>200</v>
      </c>
      <c r="E810" s="398" t="s">
        <v>661</v>
      </c>
      <c r="F810" s="398" t="s">
        <v>643</v>
      </c>
      <c r="G810" s="398"/>
      <c r="H810" s="398" t="s">
        <v>486</v>
      </c>
      <c r="I810" s="401"/>
      <c r="J810" s="131" t="str">
        <f t="shared" si="12"/>
        <v>13</v>
      </c>
    </row>
    <row r="811" spans="1:10" s="114" customFormat="1" ht="24" hidden="1" customHeight="1">
      <c r="A811" s="398">
        <v>11</v>
      </c>
      <c r="B811" s="132" t="s">
        <v>662</v>
      </c>
      <c r="C811" s="439" t="s">
        <v>663</v>
      </c>
      <c r="D811" s="440" t="s">
        <v>202</v>
      </c>
      <c r="E811" s="398" t="s">
        <v>1727</v>
      </c>
      <c r="F811" s="398" t="s">
        <v>643</v>
      </c>
      <c r="G811" s="398"/>
      <c r="H811" s="398" t="s">
        <v>281</v>
      </c>
      <c r="I811" s="401"/>
      <c r="J811" s="131" t="str">
        <f t="shared" si="12"/>
        <v>13</v>
      </c>
    </row>
    <row r="812" spans="1:10" s="114" customFormat="1" ht="24" hidden="1" customHeight="1">
      <c r="A812" s="398">
        <v>12</v>
      </c>
      <c r="B812" s="132" t="s">
        <v>664</v>
      </c>
      <c r="C812" s="439" t="s">
        <v>665</v>
      </c>
      <c r="D812" s="440" t="s">
        <v>403</v>
      </c>
      <c r="E812" s="398" t="s">
        <v>666</v>
      </c>
      <c r="F812" s="398" t="s">
        <v>643</v>
      </c>
      <c r="G812" s="398" t="s">
        <v>283</v>
      </c>
      <c r="H812" s="398" t="s">
        <v>281</v>
      </c>
      <c r="I812" s="401"/>
      <c r="J812" s="131" t="str">
        <f t="shared" si="12"/>
        <v>13</v>
      </c>
    </row>
    <row r="813" spans="1:10" s="114" customFormat="1" ht="24" hidden="1" customHeight="1">
      <c r="A813" s="398">
        <v>13</v>
      </c>
      <c r="B813" s="132" t="s">
        <v>667</v>
      </c>
      <c r="C813" s="439" t="s">
        <v>1274</v>
      </c>
      <c r="D813" s="440" t="s">
        <v>366</v>
      </c>
      <c r="E813" s="398" t="s">
        <v>2006</v>
      </c>
      <c r="F813" s="398" t="s">
        <v>643</v>
      </c>
      <c r="G813" s="398"/>
      <c r="H813" s="398" t="s">
        <v>281</v>
      </c>
      <c r="I813" s="401"/>
      <c r="J813" s="131" t="str">
        <f t="shared" si="12"/>
        <v>13</v>
      </c>
    </row>
    <row r="814" spans="1:10" s="114" customFormat="1" ht="24" hidden="1" customHeight="1">
      <c r="A814" s="398">
        <v>14</v>
      </c>
      <c r="B814" s="132" t="s">
        <v>668</v>
      </c>
      <c r="C814" s="439" t="s">
        <v>1892</v>
      </c>
      <c r="D814" s="440" t="s">
        <v>406</v>
      </c>
      <c r="E814" s="398" t="s">
        <v>669</v>
      </c>
      <c r="F814" s="398" t="s">
        <v>643</v>
      </c>
      <c r="G814" s="398"/>
      <c r="H814" s="398" t="s">
        <v>281</v>
      </c>
      <c r="I814" s="401"/>
      <c r="J814" s="131" t="str">
        <f t="shared" si="12"/>
        <v>13</v>
      </c>
    </row>
    <row r="815" spans="1:10" s="114" customFormat="1" ht="24" hidden="1" customHeight="1">
      <c r="A815" s="398">
        <v>15</v>
      </c>
      <c r="B815" s="132" t="s">
        <v>670</v>
      </c>
      <c r="C815" s="439" t="s">
        <v>671</v>
      </c>
      <c r="D815" s="440" t="s">
        <v>406</v>
      </c>
      <c r="E815" s="398" t="s">
        <v>672</v>
      </c>
      <c r="F815" s="398" t="s">
        <v>643</v>
      </c>
      <c r="G815" s="398"/>
      <c r="H815" s="398" t="s">
        <v>486</v>
      </c>
      <c r="I815" s="399" t="s">
        <v>2678</v>
      </c>
      <c r="J815" s="131" t="str">
        <f t="shared" si="12"/>
        <v>13</v>
      </c>
    </row>
    <row r="816" spans="1:10" s="114" customFormat="1" ht="24" hidden="1" customHeight="1">
      <c r="A816" s="398">
        <v>16</v>
      </c>
      <c r="B816" s="132" t="s">
        <v>673</v>
      </c>
      <c r="C816" s="439" t="s">
        <v>222</v>
      </c>
      <c r="D816" s="440" t="s">
        <v>369</v>
      </c>
      <c r="E816" s="398" t="s">
        <v>2200</v>
      </c>
      <c r="F816" s="398" t="s">
        <v>643</v>
      </c>
      <c r="G816" s="398"/>
      <c r="H816" s="398" t="s">
        <v>281</v>
      </c>
      <c r="I816" s="401"/>
      <c r="J816" s="131" t="str">
        <f t="shared" si="12"/>
        <v>13</v>
      </c>
    </row>
    <row r="817" spans="1:10" s="114" customFormat="1" ht="24" hidden="1" customHeight="1">
      <c r="A817" s="398">
        <v>17</v>
      </c>
      <c r="B817" s="132" t="s">
        <v>674</v>
      </c>
      <c r="C817" s="439" t="s">
        <v>675</v>
      </c>
      <c r="D817" s="440" t="s">
        <v>295</v>
      </c>
      <c r="E817" s="398" t="s">
        <v>676</v>
      </c>
      <c r="F817" s="398" t="s">
        <v>643</v>
      </c>
      <c r="G817" s="398"/>
      <c r="H817" s="398" t="s">
        <v>281</v>
      </c>
      <c r="I817" s="401"/>
      <c r="J817" s="131" t="str">
        <f t="shared" si="12"/>
        <v>13</v>
      </c>
    </row>
    <row r="818" spans="1:10" s="114" customFormat="1" ht="24" hidden="1" customHeight="1">
      <c r="A818" s="398">
        <v>18</v>
      </c>
      <c r="B818" s="132" t="s">
        <v>677</v>
      </c>
      <c r="C818" s="439" t="s">
        <v>678</v>
      </c>
      <c r="D818" s="440" t="s">
        <v>324</v>
      </c>
      <c r="E818" s="398" t="s">
        <v>1899</v>
      </c>
      <c r="F818" s="398" t="s">
        <v>643</v>
      </c>
      <c r="G818" s="398"/>
      <c r="H818" s="398" t="s">
        <v>486</v>
      </c>
      <c r="I818" s="401"/>
      <c r="J818" s="131" t="str">
        <f t="shared" si="12"/>
        <v>13</v>
      </c>
    </row>
    <row r="819" spans="1:10" s="114" customFormat="1" ht="24" hidden="1" customHeight="1">
      <c r="A819" s="398">
        <v>19</v>
      </c>
      <c r="B819" s="132" t="s">
        <v>679</v>
      </c>
      <c r="C819" s="439" t="s">
        <v>680</v>
      </c>
      <c r="D819" s="440" t="s">
        <v>326</v>
      </c>
      <c r="E819" s="398" t="s">
        <v>681</v>
      </c>
      <c r="F819" s="398" t="s">
        <v>643</v>
      </c>
      <c r="G819" s="398"/>
      <c r="H819" s="398" t="s">
        <v>486</v>
      </c>
      <c r="I819" s="401" t="s">
        <v>173</v>
      </c>
      <c r="J819" s="131" t="str">
        <f t="shared" si="12"/>
        <v>13</v>
      </c>
    </row>
    <row r="820" spans="1:10" s="114" customFormat="1" ht="24" hidden="1" customHeight="1">
      <c r="A820" s="398">
        <v>20</v>
      </c>
      <c r="B820" s="132" t="s">
        <v>684</v>
      </c>
      <c r="C820" s="439" t="s">
        <v>685</v>
      </c>
      <c r="D820" s="440" t="s">
        <v>686</v>
      </c>
      <c r="E820" s="398" t="s">
        <v>1021</v>
      </c>
      <c r="F820" s="398" t="s">
        <v>643</v>
      </c>
      <c r="G820" s="398" t="s">
        <v>283</v>
      </c>
      <c r="H820" s="398" t="s">
        <v>281</v>
      </c>
      <c r="I820" s="401"/>
      <c r="J820" s="131" t="str">
        <f t="shared" si="12"/>
        <v>13</v>
      </c>
    </row>
    <row r="821" spans="1:10" s="114" customFormat="1" ht="24" hidden="1" customHeight="1">
      <c r="A821" s="398">
        <v>21</v>
      </c>
      <c r="B821" s="132" t="s">
        <v>682</v>
      </c>
      <c r="C821" s="439" t="s">
        <v>683</v>
      </c>
      <c r="D821" s="440" t="s">
        <v>1198</v>
      </c>
      <c r="E821" s="398" t="s">
        <v>642</v>
      </c>
      <c r="F821" s="398" t="s">
        <v>643</v>
      </c>
      <c r="G821" s="398"/>
      <c r="H821" s="398" t="s">
        <v>486</v>
      </c>
      <c r="I821" s="401"/>
      <c r="J821" s="131" t="str">
        <f t="shared" si="12"/>
        <v>13</v>
      </c>
    </row>
    <row r="822" spans="1:10" s="114" customFormat="1" ht="24" hidden="1" customHeight="1">
      <c r="A822" s="398">
        <v>22</v>
      </c>
      <c r="B822" s="132" t="s">
        <v>687</v>
      </c>
      <c r="C822" s="439" t="s">
        <v>688</v>
      </c>
      <c r="D822" s="440" t="s">
        <v>989</v>
      </c>
      <c r="E822" s="398" t="s">
        <v>2505</v>
      </c>
      <c r="F822" s="398" t="s">
        <v>643</v>
      </c>
      <c r="G822" s="398"/>
      <c r="H822" s="398" t="s">
        <v>281</v>
      </c>
      <c r="I822" s="401"/>
      <c r="J822" s="131" t="str">
        <f t="shared" si="12"/>
        <v>13</v>
      </c>
    </row>
    <row r="823" spans="1:10" s="114" customFormat="1" ht="24" hidden="1" customHeight="1">
      <c r="A823" s="398">
        <v>23</v>
      </c>
      <c r="B823" s="132" t="s">
        <v>689</v>
      </c>
      <c r="C823" s="439" t="s">
        <v>1679</v>
      </c>
      <c r="D823" s="440" t="s">
        <v>331</v>
      </c>
      <c r="E823" s="398" t="s">
        <v>690</v>
      </c>
      <c r="F823" s="398" t="s">
        <v>643</v>
      </c>
      <c r="G823" s="398"/>
      <c r="H823" s="398" t="s">
        <v>281</v>
      </c>
      <c r="I823" s="399"/>
      <c r="J823" s="131" t="str">
        <f t="shared" si="12"/>
        <v>13</v>
      </c>
    </row>
    <row r="824" spans="1:10" s="114" customFormat="1" ht="24" hidden="1" customHeight="1">
      <c r="A824" s="398">
        <v>24</v>
      </c>
      <c r="B824" s="132" t="s">
        <v>691</v>
      </c>
      <c r="C824" s="439" t="s">
        <v>2547</v>
      </c>
      <c r="D824" s="440" t="s">
        <v>376</v>
      </c>
      <c r="E824" s="398" t="s">
        <v>1389</v>
      </c>
      <c r="F824" s="398" t="s">
        <v>643</v>
      </c>
      <c r="G824" s="398"/>
      <c r="H824" s="398" t="s">
        <v>281</v>
      </c>
      <c r="I824" s="401"/>
      <c r="J824" s="131" t="str">
        <f t="shared" si="12"/>
        <v>13</v>
      </c>
    </row>
    <row r="825" spans="1:10" s="114" customFormat="1" ht="24" hidden="1" customHeight="1">
      <c r="A825" s="398">
        <v>25</v>
      </c>
      <c r="B825" s="132" t="s">
        <v>692</v>
      </c>
      <c r="C825" s="439" t="s">
        <v>693</v>
      </c>
      <c r="D825" s="440" t="s">
        <v>341</v>
      </c>
      <c r="E825" s="398" t="s">
        <v>694</v>
      </c>
      <c r="F825" s="398" t="s">
        <v>643</v>
      </c>
      <c r="G825" s="398"/>
      <c r="H825" s="398" t="s">
        <v>486</v>
      </c>
      <c r="I825" s="401"/>
      <c r="J825" s="131" t="str">
        <f t="shared" si="12"/>
        <v>13</v>
      </c>
    </row>
    <row r="826" spans="1:10" s="114" customFormat="1" ht="24" hidden="1" customHeight="1">
      <c r="A826" s="398">
        <v>26</v>
      </c>
      <c r="B826" s="132" t="s">
        <v>695</v>
      </c>
      <c r="C826" s="439" t="s">
        <v>415</v>
      </c>
      <c r="D826" s="440" t="s">
        <v>217</v>
      </c>
      <c r="E826" s="398" t="s">
        <v>1803</v>
      </c>
      <c r="F826" s="398" t="s">
        <v>643</v>
      </c>
      <c r="G826" s="398"/>
      <c r="H826" s="398" t="s">
        <v>281</v>
      </c>
      <c r="I826" s="401"/>
      <c r="J826" s="131" t="str">
        <f t="shared" si="12"/>
        <v>13</v>
      </c>
    </row>
    <row r="827" spans="1:10" s="114" customFormat="1" ht="24" hidden="1" customHeight="1">
      <c r="A827" s="398">
        <v>27</v>
      </c>
      <c r="B827" s="132" t="s">
        <v>696</v>
      </c>
      <c r="C827" s="439" t="s">
        <v>697</v>
      </c>
      <c r="D827" s="440" t="s">
        <v>1047</v>
      </c>
      <c r="E827" s="398" t="s">
        <v>698</v>
      </c>
      <c r="F827" s="398" t="s">
        <v>643</v>
      </c>
      <c r="G827" s="398"/>
      <c r="H827" s="398" t="s">
        <v>281</v>
      </c>
      <c r="I827" s="401"/>
      <c r="J827" s="131" t="str">
        <f t="shared" si="12"/>
        <v>13</v>
      </c>
    </row>
    <row r="828" spans="1:10" s="114" customFormat="1" ht="24" hidden="1" customHeight="1">
      <c r="A828" s="398">
        <v>28</v>
      </c>
      <c r="B828" s="132" t="s">
        <v>699</v>
      </c>
      <c r="C828" s="439" t="s">
        <v>700</v>
      </c>
      <c r="D828" s="440" t="s">
        <v>993</v>
      </c>
      <c r="E828" s="398" t="s">
        <v>1549</v>
      </c>
      <c r="F828" s="398" t="s">
        <v>643</v>
      </c>
      <c r="G828" s="398"/>
      <c r="H828" s="398" t="s">
        <v>281</v>
      </c>
      <c r="I828" s="401" t="s">
        <v>173</v>
      </c>
      <c r="J828" s="131" t="str">
        <f t="shared" si="12"/>
        <v>13</v>
      </c>
    </row>
    <row r="829" spans="1:10" s="114" customFormat="1" ht="24" hidden="1" customHeight="1">
      <c r="A829" s="398">
        <v>29</v>
      </c>
      <c r="B829" s="132" t="s">
        <v>701</v>
      </c>
      <c r="C829" s="439" t="s">
        <v>702</v>
      </c>
      <c r="D829" s="440" t="s">
        <v>1085</v>
      </c>
      <c r="E829" s="398" t="s">
        <v>703</v>
      </c>
      <c r="F829" s="398" t="s">
        <v>643</v>
      </c>
      <c r="G829" s="398"/>
      <c r="H829" s="398" t="s">
        <v>486</v>
      </c>
      <c r="I829" s="401"/>
      <c r="J829" s="131" t="str">
        <f t="shared" si="12"/>
        <v>13</v>
      </c>
    </row>
    <row r="830" spans="1:10" s="114" customFormat="1" ht="24" hidden="1" customHeight="1">
      <c r="A830" s="398">
        <v>30</v>
      </c>
      <c r="B830" s="132" t="s">
        <v>704</v>
      </c>
      <c r="C830" s="439" t="s">
        <v>705</v>
      </c>
      <c r="D830" s="440" t="s">
        <v>383</v>
      </c>
      <c r="E830" s="398" t="s">
        <v>434</v>
      </c>
      <c r="F830" s="398" t="s">
        <v>643</v>
      </c>
      <c r="G830" s="398"/>
      <c r="H830" s="398" t="s">
        <v>486</v>
      </c>
      <c r="I830" s="401"/>
      <c r="J830" s="131" t="str">
        <f t="shared" si="12"/>
        <v>13</v>
      </c>
    </row>
    <row r="831" spans="1:10" s="114" customFormat="1" ht="24" hidden="1" customHeight="1">
      <c r="A831" s="398">
        <v>31</v>
      </c>
      <c r="B831" s="132" t="s">
        <v>706</v>
      </c>
      <c r="C831" s="439" t="s">
        <v>1894</v>
      </c>
      <c r="D831" s="440" t="s">
        <v>221</v>
      </c>
      <c r="E831" s="398" t="s">
        <v>1066</v>
      </c>
      <c r="F831" s="398" t="s">
        <v>643</v>
      </c>
      <c r="G831" s="398" t="s">
        <v>283</v>
      </c>
      <c r="H831" s="398" t="s">
        <v>281</v>
      </c>
      <c r="I831" s="401" t="s">
        <v>645</v>
      </c>
      <c r="J831" s="131" t="str">
        <f t="shared" si="12"/>
        <v>13</v>
      </c>
    </row>
    <row r="832" spans="1:10" s="114" customFormat="1" ht="24" hidden="1" customHeight="1">
      <c r="A832" s="398">
        <v>32</v>
      </c>
      <c r="B832" s="132" t="s">
        <v>707</v>
      </c>
      <c r="C832" s="439" t="s">
        <v>216</v>
      </c>
      <c r="D832" s="440" t="s">
        <v>350</v>
      </c>
      <c r="E832" s="398" t="s">
        <v>2503</v>
      </c>
      <c r="F832" s="398" t="s">
        <v>643</v>
      </c>
      <c r="G832" s="398"/>
      <c r="H832" s="398" t="s">
        <v>486</v>
      </c>
      <c r="I832" s="401"/>
      <c r="J832" s="131" t="str">
        <f t="shared" si="12"/>
        <v>13</v>
      </c>
    </row>
    <row r="833" spans="1:10" s="114" customFormat="1" ht="24" hidden="1" customHeight="1">
      <c r="A833" s="398">
        <v>33</v>
      </c>
      <c r="B833" s="132" t="s">
        <v>708</v>
      </c>
      <c r="C833" s="439" t="s">
        <v>709</v>
      </c>
      <c r="D833" s="440" t="s">
        <v>417</v>
      </c>
      <c r="E833" s="398" t="s">
        <v>710</v>
      </c>
      <c r="F833" s="398" t="s">
        <v>643</v>
      </c>
      <c r="G833" s="398" t="s">
        <v>283</v>
      </c>
      <c r="H833" s="398" t="s">
        <v>281</v>
      </c>
      <c r="I833" s="401"/>
      <c r="J833" s="131" t="str">
        <f t="shared" si="12"/>
        <v>13</v>
      </c>
    </row>
    <row r="834" spans="1:10" s="114" customFormat="1" ht="24" hidden="1" customHeight="1">
      <c r="A834" s="398">
        <v>34</v>
      </c>
      <c r="B834" s="132" t="s">
        <v>711</v>
      </c>
      <c r="C834" s="439" t="s">
        <v>201</v>
      </c>
      <c r="D834" s="440" t="s">
        <v>228</v>
      </c>
      <c r="E834" s="398" t="s">
        <v>712</v>
      </c>
      <c r="F834" s="398" t="s">
        <v>643</v>
      </c>
      <c r="G834" s="398"/>
      <c r="H834" s="398" t="s">
        <v>281</v>
      </c>
      <c r="I834" s="401"/>
      <c r="J834" s="131" t="str">
        <f t="shared" si="12"/>
        <v>13</v>
      </c>
    </row>
    <row r="835" spans="1:10" s="114" customFormat="1" ht="24" hidden="1" customHeight="1">
      <c r="A835" s="398">
        <v>35</v>
      </c>
      <c r="B835" s="132" t="s">
        <v>713</v>
      </c>
      <c r="C835" s="439" t="s">
        <v>1167</v>
      </c>
      <c r="D835" s="440" t="s">
        <v>230</v>
      </c>
      <c r="E835" s="398" t="s">
        <v>1702</v>
      </c>
      <c r="F835" s="398" t="s">
        <v>643</v>
      </c>
      <c r="G835" s="398"/>
      <c r="H835" s="398" t="s">
        <v>281</v>
      </c>
      <c r="I835" s="399"/>
      <c r="J835" s="131" t="str">
        <f t="shared" ref="J835:J898" si="13">LEFT(F835,2)</f>
        <v>13</v>
      </c>
    </row>
    <row r="836" spans="1:10" s="114" customFormat="1" ht="24" hidden="1" customHeight="1">
      <c r="A836" s="398">
        <v>36</v>
      </c>
      <c r="B836" s="132" t="s">
        <v>714</v>
      </c>
      <c r="C836" s="439" t="s">
        <v>1283</v>
      </c>
      <c r="D836" s="440" t="s">
        <v>358</v>
      </c>
      <c r="E836" s="398" t="s">
        <v>1021</v>
      </c>
      <c r="F836" s="398" t="s">
        <v>643</v>
      </c>
      <c r="G836" s="398"/>
      <c r="H836" s="398" t="s">
        <v>281</v>
      </c>
      <c r="I836" s="401"/>
      <c r="J836" s="131" t="str">
        <f t="shared" si="13"/>
        <v>13</v>
      </c>
    </row>
    <row r="837" spans="1:10" s="114" customFormat="1" ht="24" hidden="1" customHeight="1">
      <c r="A837" s="398">
        <v>37</v>
      </c>
      <c r="B837" s="132" t="s">
        <v>715</v>
      </c>
      <c r="C837" s="439" t="s">
        <v>1784</v>
      </c>
      <c r="D837" s="440" t="s">
        <v>233</v>
      </c>
      <c r="E837" s="398" t="s">
        <v>1115</v>
      </c>
      <c r="F837" s="398" t="s">
        <v>643</v>
      </c>
      <c r="G837" s="400"/>
      <c r="H837" s="398" t="s">
        <v>486</v>
      </c>
      <c r="I837" s="401"/>
      <c r="J837" s="131" t="str">
        <f t="shared" si="13"/>
        <v>13</v>
      </c>
    </row>
    <row r="838" spans="1:10" s="114" customFormat="1" ht="24" hidden="1" customHeight="1">
      <c r="A838" s="398">
        <v>38</v>
      </c>
      <c r="B838" s="132" t="s">
        <v>716</v>
      </c>
      <c r="C838" s="439" t="s">
        <v>206</v>
      </c>
      <c r="D838" s="440" t="s">
        <v>717</v>
      </c>
      <c r="E838" s="398" t="s">
        <v>718</v>
      </c>
      <c r="F838" s="398" t="s">
        <v>643</v>
      </c>
      <c r="G838" s="398"/>
      <c r="H838" s="398" t="s">
        <v>281</v>
      </c>
      <c r="I838" s="401"/>
      <c r="J838" s="131" t="str">
        <f t="shared" si="13"/>
        <v>13</v>
      </c>
    </row>
    <row r="839" spans="1:10" s="114" customFormat="1" ht="24" hidden="1" customHeight="1">
      <c r="A839" s="398">
        <v>39</v>
      </c>
      <c r="B839" s="132" t="s">
        <v>719</v>
      </c>
      <c r="C839" s="439" t="s">
        <v>720</v>
      </c>
      <c r="D839" s="440" t="s">
        <v>237</v>
      </c>
      <c r="E839" s="398" t="s">
        <v>437</v>
      </c>
      <c r="F839" s="398" t="s">
        <v>643</v>
      </c>
      <c r="G839" s="398"/>
      <c r="H839" s="398" t="s">
        <v>281</v>
      </c>
      <c r="I839" s="401"/>
      <c r="J839" s="131" t="str">
        <f t="shared" si="13"/>
        <v>13</v>
      </c>
    </row>
    <row r="840" spans="1:10" s="114" customFormat="1" ht="24" hidden="1" customHeight="1" thickBot="1">
      <c r="A840" s="406">
        <v>40</v>
      </c>
      <c r="B840" s="132" t="s">
        <v>721</v>
      </c>
      <c r="C840" s="441" t="s">
        <v>722</v>
      </c>
      <c r="D840" s="442" t="s">
        <v>723</v>
      </c>
      <c r="E840" s="406" t="s">
        <v>1199</v>
      </c>
      <c r="F840" s="406" t="s">
        <v>643</v>
      </c>
      <c r="G840" s="406" t="s">
        <v>283</v>
      </c>
      <c r="H840" s="406" t="s">
        <v>486</v>
      </c>
      <c r="I840" s="417" t="s">
        <v>330</v>
      </c>
      <c r="J840" s="131" t="str">
        <f t="shared" si="13"/>
        <v>13</v>
      </c>
    </row>
    <row r="841" spans="1:10" s="114" customFormat="1" ht="24" hidden="1" customHeight="1">
      <c r="A841" s="408">
        <v>1</v>
      </c>
      <c r="B841" s="132" t="s">
        <v>782</v>
      </c>
      <c r="C841" s="443" t="s">
        <v>198</v>
      </c>
      <c r="D841" s="444" t="s">
        <v>362</v>
      </c>
      <c r="E841" s="408" t="s">
        <v>783</v>
      </c>
      <c r="F841" s="409" t="s">
        <v>726</v>
      </c>
      <c r="G841" s="424"/>
      <c r="H841" s="408" t="s">
        <v>281</v>
      </c>
      <c r="I841" s="425"/>
      <c r="J841" s="131" t="str">
        <f t="shared" si="13"/>
        <v>13</v>
      </c>
    </row>
    <row r="842" spans="1:10" s="114" customFormat="1" ht="24" hidden="1" customHeight="1">
      <c r="A842" s="398">
        <v>2</v>
      </c>
      <c r="B842" s="132" t="s">
        <v>724</v>
      </c>
      <c r="C842" s="439" t="s">
        <v>725</v>
      </c>
      <c r="D842" s="440" t="s">
        <v>362</v>
      </c>
      <c r="E842" s="398" t="s">
        <v>2376</v>
      </c>
      <c r="F842" s="398" t="s">
        <v>726</v>
      </c>
      <c r="G842" s="398"/>
      <c r="H842" s="398" t="s">
        <v>281</v>
      </c>
      <c r="I842" s="401"/>
      <c r="J842" s="131" t="str">
        <f t="shared" si="13"/>
        <v>13</v>
      </c>
    </row>
    <row r="843" spans="1:10" s="114" customFormat="1" ht="24" hidden="1" customHeight="1">
      <c r="A843" s="398">
        <v>3</v>
      </c>
      <c r="B843" s="132" t="s">
        <v>728</v>
      </c>
      <c r="C843" s="439" t="s">
        <v>201</v>
      </c>
      <c r="D843" s="440" t="s">
        <v>1127</v>
      </c>
      <c r="E843" s="398" t="s">
        <v>1490</v>
      </c>
      <c r="F843" s="398" t="s">
        <v>726</v>
      </c>
      <c r="G843" s="398"/>
      <c r="H843" s="398" t="s">
        <v>281</v>
      </c>
      <c r="I843" s="401"/>
      <c r="J843" s="131" t="str">
        <f t="shared" si="13"/>
        <v>13</v>
      </c>
    </row>
    <row r="844" spans="1:10" s="114" customFormat="1" ht="24" hidden="1" customHeight="1">
      <c r="A844" s="398">
        <v>4</v>
      </c>
      <c r="B844" s="132" t="s">
        <v>729</v>
      </c>
      <c r="C844" s="439" t="s">
        <v>730</v>
      </c>
      <c r="D844" s="440" t="s">
        <v>291</v>
      </c>
      <c r="E844" s="398" t="s">
        <v>731</v>
      </c>
      <c r="F844" s="398" t="s">
        <v>726</v>
      </c>
      <c r="G844" s="398"/>
      <c r="H844" s="398" t="s">
        <v>281</v>
      </c>
      <c r="I844" s="401"/>
      <c r="J844" s="131" t="str">
        <f t="shared" si="13"/>
        <v>13</v>
      </c>
    </row>
    <row r="845" spans="1:10" s="114" customFormat="1" ht="24" hidden="1" customHeight="1">
      <c r="A845" s="398">
        <v>5</v>
      </c>
      <c r="B845" s="132" t="s">
        <v>727</v>
      </c>
      <c r="C845" s="439" t="s">
        <v>206</v>
      </c>
      <c r="D845" s="440" t="s">
        <v>363</v>
      </c>
      <c r="E845" s="398" t="s">
        <v>378</v>
      </c>
      <c r="F845" s="398" t="s">
        <v>726</v>
      </c>
      <c r="G845" s="400"/>
      <c r="H845" s="398" t="s">
        <v>281</v>
      </c>
      <c r="I845" s="401" t="s">
        <v>645</v>
      </c>
      <c r="J845" s="131" t="str">
        <f t="shared" si="13"/>
        <v>13</v>
      </c>
    </row>
    <row r="846" spans="1:10" s="114" customFormat="1" ht="24" hidden="1" customHeight="1">
      <c r="A846" s="398">
        <v>6</v>
      </c>
      <c r="B846" s="132" t="s">
        <v>732</v>
      </c>
      <c r="C846" s="439" t="s">
        <v>733</v>
      </c>
      <c r="D846" s="440" t="s">
        <v>366</v>
      </c>
      <c r="E846" s="398" t="s">
        <v>1449</v>
      </c>
      <c r="F846" s="398" t="s">
        <v>726</v>
      </c>
      <c r="G846" s="400" t="s">
        <v>330</v>
      </c>
      <c r="H846" s="398" t="s">
        <v>281</v>
      </c>
      <c r="I846" s="401"/>
      <c r="J846" s="131" t="str">
        <f t="shared" si="13"/>
        <v>13</v>
      </c>
    </row>
    <row r="847" spans="1:10" s="114" customFormat="1" ht="24" hidden="1" customHeight="1">
      <c r="A847" s="398">
        <v>7</v>
      </c>
      <c r="B847" s="132" t="s">
        <v>734</v>
      </c>
      <c r="C847" s="439" t="s">
        <v>482</v>
      </c>
      <c r="D847" s="440" t="s">
        <v>1200</v>
      </c>
      <c r="E847" s="398" t="s">
        <v>532</v>
      </c>
      <c r="F847" s="398" t="s">
        <v>726</v>
      </c>
      <c r="G847" s="398"/>
      <c r="H847" s="398" t="s">
        <v>281</v>
      </c>
      <c r="I847" s="399"/>
      <c r="J847" s="131" t="str">
        <f t="shared" si="13"/>
        <v>13</v>
      </c>
    </row>
    <row r="848" spans="1:10" s="114" customFormat="1" ht="24" hidden="1" customHeight="1">
      <c r="A848" s="398">
        <v>8</v>
      </c>
      <c r="B848" s="132" t="s">
        <v>735</v>
      </c>
      <c r="C848" s="439" t="s">
        <v>2086</v>
      </c>
      <c r="D848" s="440" t="s">
        <v>441</v>
      </c>
      <c r="E848" s="398" t="s">
        <v>1201</v>
      </c>
      <c r="F848" s="398" t="s">
        <v>726</v>
      </c>
      <c r="G848" s="398"/>
      <c r="H848" s="398" t="s">
        <v>281</v>
      </c>
      <c r="I848" s="401"/>
      <c r="J848" s="131" t="str">
        <f t="shared" si="13"/>
        <v>13</v>
      </c>
    </row>
    <row r="849" spans="1:10" s="115" customFormat="1" ht="24" hidden="1" customHeight="1">
      <c r="A849" s="398">
        <v>9</v>
      </c>
      <c r="B849" s="132" t="s">
        <v>736</v>
      </c>
      <c r="C849" s="439"/>
      <c r="D849" s="440" t="s">
        <v>737</v>
      </c>
      <c r="E849" s="398" t="s">
        <v>2271</v>
      </c>
      <c r="F849" s="398" t="s">
        <v>726</v>
      </c>
      <c r="G849" s="398"/>
      <c r="H849" s="398" t="s">
        <v>281</v>
      </c>
      <c r="I849" s="401" t="s">
        <v>174</v>
      </c>
      <c r="J849" s="131" t="str">
        <f t="shared" si="13"/>
        <v>13</v>
      </c>
    </row>
    <row r="850" spans="1:10" s="114" customFormat="1" ht="24" hidden="1" customHeight="1">
      <c r="A850" s="398">
        <v>10</v>
      </c>
      <c r="B850" s="132" t="s">
        <v>738</v>
      </c>
      <c r="C850" s="439" t="s">
        <v>739</v>
      </c>
      <c r="D850" s="440" t="s">
        <v>1095</v>
      </c>
      <c r="E850" s="398" t="s">
        <v>740</v>
      </c>
      <c r="F850" s="398" t="s">
        <v>726</v>
      </c>
      <c r="G850" s="398"/>
      <c r="H850" s="398" t="s">
        <v>281</v>
      </c>
      <c r="I850" s="401"/>
      <c r="J850" s="131" t="str">
        <f t="shared" si="13"/>
        <v>13</v>
      </c>
    </row>
    <row r="851" spans="1:10" s="114" customFormat="1" ht="24" hidden="1" customHeight="1">
      <c r="A851" s="398">
        <v>11</v>
      </c>
      <c r="B851" s="132" t="s">
        <v>741</v>
      </c>
      <c r="C851" s="439" t="s">
        <v>201</v>
      </c>
      <c r="D851" s="440" t="s">
        <v>1057</v>
      </c>
      <c r="E851" s="398" t="s">
        <v>547</v>
      </c>
      <c r="F851" s="398" t="s">
        <v>726</v>
      </c>
      <c r="G851" s="398"/>
      <c r="H851" s="398" t="s">
        <v>281</v>
      </c>
      <c r="I851" s="401"/>
      <c r="J851" s="131" t="str">
        <f t="shared" si="13"/>
        <v>13</v>
      </c>
    </row>
    <row r="852" spans="1:10" s="114" customFormat="1" ht="24" hidden="1" customHeight="1">
      <c r="A852" s="398">
        <v>12</v>
      </c>
      <c r="B852" s="132" t="s">
        <v>742</v>
      </c>
      <c r="C852" s="439" t="s">
        <v>743</v>
      </c>
      <c r="D852" s="440" t="s">
        <v>326</v>
      </c>
      <c r="E852" s="398" t="s">
        <v>1016</v>
      </c>
      <c r="F852" s="398" t="s">
        <v>726</v>
      </c>
      <c r="G852" s="398"/>
      <c r="H852" s="398" t="s">
        <v>281</v>
      </c>
      <c r="I852" s="401"/>
      <c r="J852" s="131" t="str">
        <f t="shared" si="13"/>
        <v>13</v>
      </c>
    </row>
    <row r="853" spans="1:10" s="114" customFormat="1" ht="24" hidden="1" customHeight="1">
      <c r="A853" s="398">
        <v>13</v>
      </c>
      <c r="B853" s="132" t="s">
        <v>744</v>
      </c>
      <c r="C853" s="439" t="s">
        <v>1340</v>
      </c>
      <c r="D853" s="440" t="s">
        <v>745</v>
      </c>
      <c r="E853" s="398" t="s">
        <v>1121</v>
      </c>
      <c r="F853" s="398" t="s">
        <v>726</v>
      </c>
      <c r="G853" s="400" t="s">
        <v>360</v>
      </c>
      <c r="H853" s="398" t="s">
        <v>486</v>
      </c>
      <c r="I853" s="401"/>
      <c r="J853" s="131" t="str">
        <f t="shared" si="13"/>
        <v>13</v>
      </c>
    </row>
    <row r="854" spans="1:10" s="114" customFormat="1" ht="24" hidden="1" customHeight="1">
      <c r="A854" s="398">
        <v>14</v>
      </c>
      <c r="B854" s="132" t="s">
        <v>746</v>
      </c>
      <c r="C854" s="439" t="s">
        <v>747</v>
      </c>
      <c r="D854" s="440" t="s">
        <v>210</v>
      </c>
      <c r="E854" s="398" t="s">
        <v>748</v>
      </c>
      <c r="F854" s="398" t="s">
        <v>726</v>
      </c>
      <c r="G854" s="398"/>
      <c r="H854" s="398" t="s">
        <v>281</v>
      </c>
      <c r="I854" s="401" t="s">
        <v>645</v>
      </c>
      <c r="J854" s="131" t="str">
        <f t="shared" si="13"/>
        <v>13</v>
      </c>
    </row>
    <row r="855" spans="1:10" s="114" customFormat="1" ht="24" hidden="1" customHeight="1">
      <c r="A855" s="398">
        <v>15</v>
      </c>
      <c r="B855" s="132" t="s">
        <v>749</v>
      </c>
      <c r="C855" s="439" t="s">
        <v>750</v>
      </c>
      <c r="D855" s="440" t="s">
        <v>210</v>
      </c>
      <c r="E855" s="398" t="s">
        <v>1576</v>
      </c>
      <c r="F855" s="398" t="s">
        <v>726</v>
      </c>
      <c r="G855" s="398"/>
      <c r="H855" s="398" t="s">
        <v>281</v>
      </c>
      <c r="I855" s="401" t="s">
        <v>645</v>
      </c>
      <c r="J855" s="131" t="str">
        <f t="shared" si="13"/>
        <v>13</v>
      </c>
    </row>
    <row r="856" spans="1:10" s="114" customFormat="1" ht="24" hidden="1" customHeight="1">
      <c r="A856" s="398">
        <v>16</v>
      </c>
      <c r="B856" s="132" t="s">
        <v>751</v>
      </c>
      <c r="C856" s="439" t="s">
        <v>282</v>
      </c>
      <c r="D856" s="440" t="s">
        <v>989</v>
      </c>
      <c r="E856" s="398" t="s">
        <v>1731</v>
      </c>
      <c r="F856" s="398" t="s">
        <v>726</v>
      </c>
      <c r="G856" s="398"/>
      <c r="H856" s="398" t="s">
        <v>281</v>
      </c>
      <c r="I856" s="399"/>
      <c r="J856" s="131" t="str">
        <f t="shared" si="13"/>
        <v>13</v>
      </c>
    </row>
    <row r="857" spans="1:10" s="114" customFormat="1" ht="24" hidden="1" customHeight="1">
      <c r="A857" s="398">
        <v>17</v>
      </c>
      <c r="B857" s="132" t="s">
        <v>752</v>
      </c>
      <c r="C857" s="439" t="s">
        <v>1936</v>
      </c>
      <c r="D857" s="440" t="s">
        <v>331</v>
      </c>
      <c r="E857" s="398" t="s">
        <v>753</v>
      </c>
      <c r="F857" s="398" t="s">
        <v>726</v>
      </c>
      <c r="G857" s="400" t="s">
        <v>336</v>
      </c>
      <c r="H857" s="398" t="s">
        <v>281</v>
      </c>
      <c r="I857" s="401"/>
      <c r="J857" s="131" t="str">
        <f t="shared" si="13"/>
        <v>13</v>
      </c>
    </row>
    <row r="858" spans="1:10" s="114" customFormat="1" ht="24" hidden="1" customHeight="1">
      <c r="A858" s="398">
        <v>18</v>
      </c>
      <c r="B858" s="132" t="s">
        <v>754</v>
      </c>
      <c r="C858" s="439" t="s">
        <v>755</v>
      </c>
      <c r="D858" s="440" t="s">
        <v>334</v>
      </c>
      <c r="E858" s="398" t="s">
        <v>756</v>
      </c>
      <c r="F858" s="398" t="s">
        <v>726</v>
      </c>
      <c r="G858" s="398"/>
      <c r="H858" s="398" t="s">
        <v>281</v>
      </c>
      <c r="I858" s="401"/>
      <c r="J858" s="131" t="str">
        <f t="shared" si="13"/>
        <v>13</v>
      </c>
    </row>
    <row r="859" spans="1:10" s="114" customFormat="1" ht="24" hidden="1" customHeight="1">
      <c r="A859" s="398">
        <v>19</v>
      </c>
      <c r="B859" s="132" t="s">
        <v>757</v>
      </c>
      <c r="C859" s="439" t="s">
        <v>482</v>
      </c>
      <c r="D859" s="440" t="s">
        <v>337</v>
      </c>
      <c r="E859" s="398" t="s">
        <v>758</v>
      </c>
      <c r="F859" s="398" t="s">
        <v>726</v>
      </c>
      <c r="G859" s="398"/>
      <c r="H859" s="398" t="s">
        <v>281</v>
      </c>
      <c r="I859" s="401"/>
      <c r="J859" s="131" t="str">
        <f t="shared" si="13"/>
        <v>13</v>
      </c>
    </row>
    <row r="860" spans="1:10" s="115" customFormat="1" ht="24" hidden="1" customHeight="1">
      <c r="A860" s="398">
        <v>20</v>
      </c>
      <c r="B860" s="132" t="s">
        <v>759</v>
      </c>
      <c r="C860" s="439" t="s">
        <v>760</v>
      </c>
      <c r="D860" s="440" t="s">
        <v>337</v>
      </c>
      <c r="E860" s="398" t="s">
        <v>1202</v>
      </c>
      <c r="F860" s="398" t="s">
        <v>726</v>
      </c>
      <c r="G860" s="398"/>
      <c r="H860" s="398" t="s">
        <v>281</v>
      </c>
      <c r="I860" s="401"/>
      <c r="J860" s="131" t="str">
        <f t="shared" si="13"/>
        <v>13</v>
      </c>
    </row>
    <row r="861" spans="1:10" s="114" customFormat="1" ht="24" hidden="1" customHeight="1">
      <c r="A861" s="398">
        <v>21</v>
      </c>
      <c r="B861" s="132" t="s">
        <v>761</v>
      </c>
      <c r="C861" s="439" t="s">
        <v>762</v>
      </c>
      <c r="D861" s="440" t="s">
        <v>340</v>
      </c>
      <c r="E861" s="398" t="s">
        <v>763</v>
      </c>
      <c r="F861" s="398" t="s">
        <v>726</v>
      </c>
      <c r="G861" s="398"/>
      <c r="H861" s="398" t="s">
        <v>486</v>
      </c>
      <c r="I861" s="401"/>
      <c r="J861" s="131" t="str">
        <f t="shared" si="13"/>
        <v>13</v>
      </c>
    </row>
    <row r="862" spans="1:10" s="114" customFormat="1" ht="24" hidden="1" customHeight="1">
      <c r="A862" s="398">
        <v>22</v>
      </c>
      <c r="B862" s="132" t="s">
        <v>764</v>
      </c>
      <c r="C862" s="439" t="s">
        <v>206</v>
      </c>
      <c r="D862" s="440" t="s">
        <v>347</v>
      </c>
      <c r="E862" s="398" t="s">
        <v>1275</v>
      </c>
      <c r="F862" s="398" t="s">
        <v>726</v>
      </c>
      <c r="G862" s="398"/>
      <c r="H862" s="398" t="s">
        <v>281</v>
      </c>
      <c r="I862" s="401"/>
      <c r="J862" s="131" t="str">
        <f t="shared" si="13"/>
        <v>13</v>
      </c>
    </row>
    <row r="863" spans="1:10" s="114" customFormat="1" ht="24" hidden="1" customHeight="1">
      <c r="A863" s="398">
        <v>23</v>
      </c>
      <c r="B863" s="132" t="s">
        <v>765</v>
      </c>
      <c r="C863" s="439" t="s">
        <v>365</v>
      </c>
      <c r="D863" s="440" t="s">
        <v>1203</v>
      </c>
      <c r="E863" s="398" t="s">
        <v>405</v>
      </c>
      <c r="F863" s="398" t="s">
        <v>726</v>
      </c>
      <c r="G863" s="398"/>
      <c r="H863" s="398" t="s">
        <v>281</v>
      </c>
      <c r="I863" s="401"/>
      <c r="J863" s="131" t="str">
        <f t="shared" si="13"/>
        <v>13</v>
      </c>
    </row>
    <row r="864" spans="1:10" s="114" customFormat="1" ht="24" hidden="1" customHeight="1">
      <c r="A864" s="398">
        <v>24</v>
      </c>
      <c r="B864" s="132" t="s">
        <v>766</v>
      </c>
      <c r="C864" s="439" t="s">
        <v>212</v>
      </c>
      <c r="D864" s="440" t="s">
        <v>468</v>
      </c>
      <c r="E864" s="398" t="s">
        <v>1331</v>
      </c>
      <c r="F864" s="398" t="s">
        <v>726</v>
      </c>
      <c r="G864" s="398"/>
      <c r="H864" s="398" t="s">
        <v>281</v>
      </c>
      <c r="I864" s="401" t="s">
        <v>645</v>
      </c>
      <c r="J864" s="131" t="str">
        <f t="shared" si="13"/>
        <v>13</v>
      </c>
    </row>
    <row r="865" spans="1:10" s="114" customFormat="1" ht="24" hidden="1" customHeight="1">
      <c r="A865" s="398">
        <v>25</v>
      </c>
      <c r="B865" s="132" t="s">
        <v>767</v>
      </c>
      <c r="C865" s="439" t="s">
        <v>705</v>
      </c>
      <c r="D865" s="440" t="s">
        <v>468</v>
      </c>
      <c r="E865" s="398" t="s">
        <v>768</v>
      </c>
      <c r="F865" s="398" t="s">
        <v>726</v>
      </c>
      <c r="G865" s="398"/>
      <c r="H865" s="398" t="s">
        <v>281</v>
      </c>
      <c r="I865" s="401" t="s">
        <v>645</v>
      </c>
      <c r="J865" s="131" t="str">
        <f t="shared" si="13"/>
        <v>13</v>
      </c>
    </row>
    <row r="866" spans="1:10" s="114" customFormat="1" ht="24" hidden="1" customHeight="1">
      <c r="A866" s="398">
        <v>26</v>
      </c>
      <c r="B866" s="132" t="s">
        <v>769</v>
      </c>
      <c r="C866" s="439" t="s">
        <v>1358</v>
      </c>
      <c r="D866" s="440" t="s">
        <v>226</v>
      </c>
      <c r="E866" s="398" t="s">
        <v>1669</v>
      </c>
      <c r="F866" s="398" t="s">
        <v>726</v>
      </c>
      <c r="G866" s="398"/>
      <c r="H866" s="398" t="s">
        <v>486</v>
      </c>
      <c r="I866" s="399"/>
      <c r="J866" s="131" t="str">
        <f t="shared" si="13"/>
        <v>13</v>
      </c>
    </row>
    <row r="867" spans="1:10" s="114" customFormat="1" ht="24" hidden="1" customHeight="1">
      <c r="A867" s="398">
        <v>27</v>
      </c>
      <c r="B867" s="132" t="s">
        <v>770</v>
      </c>
      <c r="C867" s="439" t="s">
        <v>771</v>
      </c>
      <c r="D867" s="440" t="s">
        <v>1038</v>
      </c>
      <c r="E867" s="398" t="s">
        <v>2417</v>
      </c>
      <c r="F867" s="398" t="s">
        <v>726</v>
      </c>
      <c r="G867" s="400"/>
      <c r="H867" s="398" t="s">
        <v>281</v>
      </c>
      <c r="I867" s="401" t="s">
        <v>645</v>
      </c>
      <c r="J867" s="131" t="str">
        <f t="shared" si="13"/>
        <v>13</v>
      </c>
    </row>
    <row r="868" spans="1:10" s="114" customFormat="1" ht="24" hidden="1" customHeight="1">
      <c r="A868" s="398">
        <v>28</v>
      </c>
      <c r="B868" s="132" t="s">
        <v>772</v>
      </c>
      <c r="C868" s="439" t="s">
        <v>212</v>
      </c>
      <c r="D868" s="440" t="s">
        <v>230</v>
      </c>
      <c r="E868" s="398" t="s">
        <v>975</v>
      </c>
      <c r="F868" s="398" t="s">
        <v>726</v>
      </c>
      <c r="G868" s="398"/>
      <c r="H868" s="398" t="s">
        <v>281</v>
      </c>
      <c r="I868" s="399"/>
      <c r="J868" s="131" t="str">
        <f t="shared" si="13"/>
        <v>13</v>
      </c>
    </row>
    <row r="869" spans="1:10" s="114" customFormat="1" ht="24" hidden="1" customHeight="1">
      <c r="A869" s="398">
        <v>29</v>
      </c>
      <c r="B869" s="132" t="s">
        <v>773</v>
      </c>
      <c r="C869" s="439" t="s">
        <v>201</v>
      </c>
      <c r="D869" s="440" t="s">
        <v>394</v>
      </c>
      <c r="E869" s="398" t="s">
        <v>1173</v>
      </c>
      <c r="F869" s="398" t="s">
        <v>726</v>
      </c>
      <c r="G869" s="398"/>
      <c r="H869" s="398" t="s">
        <v>281</v>
      </c>
      <c r="I869" s="401"/>
      <c r="J869" s="131" t="str">
        <f t="shared" si="13"/>
        <v>13</v>
      </c>
    </row>
    <row r="870" spans="1:10" s="116" customFormat="1" ht="24" hidden="1" customHeight="1">
      <c r="A870" s="398">
        <v>30</v>
      </c>
      <c r="B870" s="132" t="s">
        <v>774</v>
      </c>
      <c r="C870" s="439" t="s">
        <v>1865</v>
      </c>
      <c r="D870" s="440" t="s">
        <v>1195</v>
      </c>
      <c r="E870" s="398" t="s">
        <v>1155</v>
      </c>
      <c r="F870" s="398" t="s">
        <v>726</v>
      </c>
      <c r="G870" s="398"/>
      <c r="H870" s="398" t="s">
        <v>486</v>
      </c>
      <c r="I870" s="401"/>
      <c r="J870" s="131" t="str">
        <f t="shared" si="13"/>
        <v>13</v>
      </c>
    </row>
    <row r="871" spans="1:10" s="114" customFormat="1" ht="24" hidden="1" customHeight="1">
      <c r="A871" s="398">
        <v>31</v>
      </c>
      <c r="B871" s="132" t="s">
        <v>775</v>
      </c>
      <c r="C871" s="439" t="s">
        <v>776</v>
      </c>
      <c r="D871" s="440" t="s">
        <v>1040</v>
      </c>
      <c r="E871" s="398" t="s">
        <v>1201</v>
      </c>
      <c r="F871" s="398" t="s">
        <v>726</v>
      </c>
      <c r="G871" s="398"/>
      <c r="H871" s="398" t="s">
        <v>281</v>
      </c>
      <c r="I871" s="401" t="s">
        <v>645</v>
      </c>
      <c r="J871" s="131" t="str">
        <f t="shared" si="13"/>
        <v>13</v>
      </c>
    </row>
    <row r="872" spans="1:10" s="116" customFormat="1" ht="24" hidden="1" customHeight="1">
      <c r="A872" s="398">
        <v>32</v>
      </c>
      <c r="B872" s="132" t="s">
        <v>777</v>
      </c>
      <c r="C872" s="439" t="s">
        <v>778</v>
      </c>
      <c r="D872" s="440" t="s">
        <v>779</v>
      </c>
      <c r="E872" s="398" t="s">
        <v>980</v>
      </c>
      <c r="F872" s="398" t="s">
        <v>726</v>
      </c>
      <c r="G872" s="398" t="s">
        <v>283</v>
      </c>
      <c r="H872" s="398" t="s">
        <v>281</v>
      </c>
      <c r="I872" s="401"/>
      <c r="J872" s="131" t="str">
        <f t="shared" si="13"/>
        <v>13</v>
      </c>
    </row>
    <row r="873" spans="1:10" s="116" customFormat="1" ht="24" hidden="1" customHeight="1" thickBot="1">
      <c r="A873" s="406">
        <v>33</v>
      </c>
      <c r="B873" s="132" t="s">
        <v>780</v>
      </c>
      <c r="C873" s="441" t="s">
        <v>781</v>
      </c>
      <c r="D873" s="442" t="s">
        <v>1017</v>
      </c>
      <c r="E873" s="406" t="s">
        <v>1014</v>
      </c>
      <c r="F873" s="406" t="s">
        <v>726</v>
      </c>
      <c r="G873" s="406" t="s">
        <v>283</v>
      </c>
      <c r="H873" s="406" t="s">
        <v>281</v>
      </c>
      <c r="I873" s="417"/>
      <c r="J873" s="131" t="str">
        <f t="shared" si="13"/>
        <v>13</v>
      </c>
    </row>
    <row r="874" spans="1:10" s="116" customFormat="1" ht="24" hidden="1" customHeight="1">
      <c r="A874" s="426">
        <v>1</v>
      </c>
      <c r="B874" s="427" t="s">
        <v>784</v>
      </c>
      <c r="C874" s="445" t="s">
        <v>785</v>
      </c>
      <c r="D874" s="446" t="s">
        <v>279</v>
      </c>
      <c r="E874" s="426" t="s">
        <v>345</v>
      </c>
      <c r="F874" s="409" t="s">
        <v>786</v>
      </c>
      <c r="G874" s="426"/>
      <c r="H874" s="426" t="s">
        <v>281</v>
      </c>
      <c r="I874" s="428" t="s">
        <v>173</v>
      </c>
      <c r="J874" s="131" t="str">
        <f t="shared" si="13"/>
        <v>13</v>
      </c>
    </row>
    <row r="875" spans="1:10" s="116" customFormat="1" ht="24" hidden="1" customHeight="1">
      <c r="A875" s="429">
        <v>2</v>
      </c>
      <c r="B875" s="427" t="s">
        <v>787</v>
      </c>
      <c r="C875" s="447" t="s">
        <v>788</v>
      </c>
      <c r="D875" s="448" t="s">
        <v>985</v>
      </c>
      <c r="E875" s="429" t="s">
        <v>789</v>
      </c>
      <c r="F875" s="429" t="s">
        <v>786</v>
      </c>
      <c r="G875" s="429"/>
      <c r="H875" s="429" t="s">
        <v>281</v>
      </c>
      <c r="I875" s="430"/>
      <c r="J875" s="131" t="str">
        <f t="shared" si="13"/>
        <v>13</v>
      </c>
    </row>
    <row r="876" spans="1:10" s="116" customFormat="1" ht="24" hidden="1" customHeight="1">
      <c r="A876" s="429">
        <v>3</v>
      </c>
      <c r="B876" s="427" t="s">
        <v>790</v>
      </c>
      <c r="C876" s="447" t="s">
        <v>791</v>
      </c>
      <c r="D876" s="448" t="s">
        <v>792</v>
      </c>
      <c r="E876" s="429" t="s">
        <v>1098</v>
      </c>
      <c r="F876" s="429" t="s">
        <v>786</v>
      </c>
      <c r="G876" s="429" t="s">
        <v>283</v>
      </c>
      <c r="H876" s="429" t="s">
        <v>281</v>
      </c>
      <c r="I876" s="430"/>
      <c r="J876" s="131" t="str">
        <f t="shared" si="13"/>
        <v>13</v>
      </c>
    </row>
    <row r="877" spans="1:10" s="116" customFormat="1" ht="24" hidden="1" customHeight="1">
      <c r="A877" s="429">
        <v>4</v>
      </c>
      <c r="B877" s="427" t="s">
        <v>793</v>
      </c>
      <c r="C877" s="447" t="s">
        <v>198</v>
      </c>
      <c r="D877" s="448" t="s">
        <v>362</v>
      </c>
      <c r="E877" s="429" t="s">
        <v>1969</v>
      </c>
      <c r="F877" s="429" t="s">
        <v>786</v>
      </c>
      <c r="G877" s="429"/>
      <c r="H877" s="429" t="s">
        <v>281</v>
      </c>
      <c r="I877" s="430"/>
      <c r="J877" s="131" t="str">
        <f t="shared" si="13"/>
        <v>13</v>
      </c>
    </row>
    <row r="878" spans="1:10" s="116" customFormat="1" ht="24" hidden="1" customHeight="1">
      <c r="A878" s="429">
        <v>5</v>
      </c>
      <c r="B878" s="427" t="s">
        <v>796</v>
      </c>
      <c r="C878" s="447" t="s">
        <v>797</v>
      </c>
      <c r="D878" s="448" t="s">
        <v>364</v>
      </c>
      <c r="E878" s="429" t="s">
        <v>798</v>
      </c>
      <c r="F878" s="429" t="s">
        <v>786</v>
      </c>
      <c r="G878" s="429"/>
      <c r="H878" s="429" t="s">
        <v>281</v>
      </c>
      <c r="I878" s="430"/>
      <c r="J878" s="131" t="str">
        <f t="shared" si="13"/>
        <v>13</v>
      </c>
    </row>
    <row r="879" spans="1:10" s="116" customFormat="1" ht="24" hidden="1" customHeight="1">
      <c r="A879" s="429">
        <v>6</v>
      </c>
      <c r="B879" s="427" t="s">
        <v>799</v>
      </c>
      <c r="C879" s="447" t="s">
        <v>800</v>
      </c>
      <c r="D879" s="448" t="s">
        <v>364</v>
      </c>
      <c r="E879" s="429" t="s">
        <v>1074</v>
      </c>
      <c r="F879" s="429" t="s">
        <v>786</v>
      </c>
      <c r="G879" s="429"/>
      <c r="H879" s="429" t="s">
        <v>281</v>
      </c>
      <c r="I879" s="430" t="s">
        <v>801</v>
      </c>
      <c r="J879" s="131" t="str">
        <f t="shared" si="13"/>
        <v>13</v>
      </c>
    </row>
    <row r="880" spans="1:10" s="116" customFormat="1" ht="24" hidden="1" customHeight="1">
      <c r="A880" s="429">
        <v>7</v>
      </c>
      <c r="B880" s="427" t="s">
        <v>794</v>
      </c>
      <c r="C880" s="447" t="s">
        <v>515</v>
      </c>
      <c r="D880" s="448" t="s">
        <v>795</v>
      </c>
      <c r="E880" s="429" t="s">
        <v>1205</v>
      </c>
      <c r="F880" s="429" t="s">
        <v>786</v>
      </c>
      <c r="G880" s="429" t="s">
        <v>283</v>
      </c>
      <c r="H880" s="429" t="s">
        <v>281</v>
      </c>
      <c r="I880" s="430" t="s">
        <v>330</v>
      </c>
      <c r="J880" s="131" t="str">
        <f t="shared" si="13"/>
        <v>13</v>
      </c>
    </row>
    <row r="881" spans="1:10" s="116" customFormat="1" ht="24" hidden="1" customHeight="1">
      <c r="A881" s="429">
        <v>8</v>
      </c>
      <c r="B881" s="431" t="s">
        <v>2679</v>
      </c>
      <c r="C881" s="447" t="s">
        <v>59</v>
      </c>
      <c r="D881" s="448" t="s">
        <v>291</v>
      </c>
      <c r="E881" s="429" t="s">
        <v>1346</v>
      </c>
      <c r="F881" s="429" t="s">
        <v>786</v>
      </c>
      <c r="G881" s="432"/>
      <c r="H881" s="429"/>
      <c r="I881" s="433" t="s">
        <v>2680</v>
      </c>
      <c r="J881" s="131" t="str">
        <f t="shared" si="13"/>
        <v>13</v>
      </c>
    </row>
    <row r="882" spans="1:10" s="116" customFormat="1" ht="24" hidden="1" customHeight="1">
      <c r="A882" s="429">
        <v>9</v>
      </c>
      <c r="B882" s="427" t="s">
        <v>802</v>
      </c>
      <c r="C882" s="447" t="s">
        <v>371</v>
      </c>
      <c r="D882" s="448" t="s">
        <v>291</v>
      </c>
      <c r="E882" s="429" t="s">
        <v>434</v>
      </c>
      <c r="F882" s="429" t="s">
        <v>786</v>
      </c>
      <c r="G882" s="429"/>
      <c r="H882" s="429" t="s">
        <v>281</v>
      </c>
      <c r="I882" s="430"/>
      <c r="J882" s="131" t="str">
        <f t="shared" si="13"/>
        <v>13</v>
      </c>
    </row>
    <row r="883" spans="1:10" s="116" customFormat="1" ht="24" hidden="1" customHeight="1">
      <c r="A883" s="429">
        <v>10</v>
      </c>
      <c r="B883" s="427" t="s">
        <v>856</v>
      </c>
      <c r="C883" s="447" t="s">
        <v>857</v>
      </c>
      <c r="D883" s="448" t="s">
        <v>366</v>
      </c>
      <c r="E883" s="429" t="s">
        <v>1576</v>
      </c>
      <c r="F883" s="429" t="s">
        <v>786</v>
      </c>
      <c r="G883" s="432"/>
      <c r="H883" s="429" t="s">
        <v>281</v>
      </c>
      <c r="I883" s="434"/>
      <c r="J883" s="131" t="str">
        <f t="shared" si="13"/>
        <v>13</v>
      </c>
    </row>
    <row r="884" spans="1:10" s="116" customFormat="1" ht="24" hidden="1" customHeight="1">
      <c r="A884" s="429">
        <v>11</v>
      </c>
      <c r="B884" s="427" t="s">
        <v>803</v>
      </c>
      <c r="C884" s="447" t="s">
        <v>804</v>
      </c>
      <c r="D884" s="448" t="s">
        <v>1186</v>
      </c>
      <c r="E884" s="429" t="s">
        <v>1763</v>
      </c>
      <c r="F884" s="429" t="s">
        <v>786</v>
      </c>
      <c r="G884" s="429" t="s">
        <v>283</v>
      </c>
      <c r="H884" s="429" t="s">
        <v>281</v>
      </c>
      <c r="I884" s="429"/>
      <c r="J884" s="131" t="str">
        <f t="shared" si="13"/>
        <v>13</v>
      </c>
    </row>
    <row r="885" spans="1:10" s="116" customFormat="1" ht="24" hidden="1" customHeight="1">
      <c r="A885" s="429">
        <v>12</v>
      </c>
      <c r="B885" s="427" t="s">
        <v>805</v>
      </c>
      <c r="C885" s="447" t="s">
        <v>806</v>
      </c>
      <c r="D885" s="448" t="s">
        <v>153</v>
      </c>
      <c r="E885" s="429" t="s">
        <v>2132</v>
      </c>
      <c r="F885" s="429" t="s">
        <v>786</v>
      </c>
      <c r="G885" s="429"/>
      <c r="H885" s="429" t="s">
        <v>486</v>
      </c>
      <c r="I885" s="430" t="s">
        <v>173</v>
      </c>
      <c r="J885" s="131" t="str">
        <f t="shared" si="13"/>
        <v>13</v>
      </c>
    </row>
    <row r="886" spans="1:10" s="116" customFormat="1" ht="24" hidden="1" customHeight="1">
      <c r="A886" s="429">
        <v>13</v>
      </c>
      <c r="B886" s="431" t="s">
        <v>2681</v>
      </c>
      <c r="C886" s="447" t="s">
        <v>2682</v>
      </c>
      <c r="D886" s="448" t="s">
        <v>293</v>
      </c>
      <c r="E886" s="429" t="s">
        <v>2683</v>
      </c>
      <c r="F886" s="429" t="s">
        <v>786</v>
      </c>
      <c r="G886" s="432"/>
      <c r="H886" s="429"/>
      <c r="I886" s="433" t="s">
        <v>2680</v>
      </c>
      <c r="J886" s="131" t="str">
        <f t="shared" si="13"/>
        <v>13</v>
      </c>
    </row>
    <row r="887" spans="1:10" s="114" customFormat="1" ht="24" hidden="1" customHeight="1">
      <c r="A887" s="429">
        <v>14</v>
      </c>
      <c r="B887" s="427" t="s">
        <v>807</v>
      </c>
      <c r="C887" s="447" t="s">
        <v>201</v>
      </c>
      <c r="D887" s="448" t="s">
        <v>1358</v>
      </c>
      <c r="E887" s="429" t="s">
        <v>154</v>
      </c>
      <c r="F887" s="429" t="s">
        <v>786</v>
      </c>
      <c r="G887" s="435"/>
      <c r="H887" s="429" t="s">
        <v>281</v>
      </c>
      <c r="I887" s="430"/>
      <c r="J887" s="131" t="str">
        <f t="shared" si="13"/>
        <v>13</v>
      </c>
    </row>
    <row r="888" spans="1:10" s="115" customFormat="1" ht="24" hidden="1" customHeight="1">
      <c r="A888" s="429">
        <v>15</v>
      </c>
      <c r="B888" s="132" t="s">
        <v>808</v>
      </c>
      <c r="C888" s="439" t="s">
        <v>1379</v>
      </c>
      <c r="D888" s="440" t="s">
        <v>155</v>
      </c>
      <c r="E888" s="398" t="s">
        <v>809</v>
      </c>
      <c r="F888" s="398" t="s">
        <v>786</v>
      </c>
      <c r="G888" s="398"/>
      <c r="H888" s="398" t="s">
        <v>486</v>
      </c>
      <c r="I888" s="401"/>
      <c r="J888" s="131" t="str">
        <f t="shared" si="13"/>
        <v>13</v>
      </c>
    </row>
    <row r="889" spans="1:10" s="114" customFormat="1" ht="24" hidden="1" customHeight="1">
      <c r="A889" s="398">
        <v>16</v>
      </c>
      <c r="B889" s="132" t="s">
        <v>810</v>
      </c>
      <c r="C889" s="439" t="s">
        <v>212</v>
      </c>
      <c r="D889" s="440" t="s">
        <v>811</v>
      </c>
      <c r="E889" s="398" t="s">
        <v>2280</v>
      </c>
      <c r="F889" s="398" t="s">
        <v>786</v>
      </c>
      <c r="G889" s="398"/>
      <c r="H889" s="398" t="s">
        <v>281</v>
      </c>
      <c r="I889" s="401"/>
      <c r="J889" s="131" t="str">
        <f t="shared" si="13"/>
        <v>13</v>
      </c>
    </row>
    <row r="890" spans="1:10" s="114" customFormat="1" ht="24" hidden="1" customHeight="1">
      <c r="A890" s="398">
        <v>17</v>
      </c>
      <c r="B890" s="132" t="s">
        <v>812</v>
      </c>
      <c r="C890" s="439" t="s">
        <v>813</v>
      </c>
      <c r="D890" s="440" t="s">
        <v>328</v>
      </c>
      <c r="E890" s="398" t="s">
        <v>2206</v>
      </c>
      <c r="F890" s="398" t="s">
        <v>786</v>
      </c>
      <c r="G890" s="398"/>
      <c r="H890" s="398" t="s">
        <v>281</v>
      </c>
      <c r="I890" s="401"/>
      <c r="J890" s="131" t="str">
        <f t="shared" si="13"/>
        <v>13</v>
      </c>
    </row>
    <row r="891" spans="1:10" s="114" customFormat="1" ht="24" hidden="1" customHeight="1">
      <c r="A891" s="398">
        <v>18</v>
      </c>
      <c r="B891" s="132" t="s">
        <v>814</v>
      </c>
      <c r="C891" s="439" t="s">
        <v>815</v>
      </c>
      <c r="D891" s="440" t="s">
        <v>989</v>
      </c>
      <c r="E891" s="398" t="s">
        <v>816</v>
      </c>
      <c r="F891" s="398" t="s">
        <v>786</v>
      </c>
      <c r="G891" s="398"/>
      <c r="H891" s="398" t="s">
        <v>486</v>
      </c>
      <c r="I891" s="401"/>
      <c r="J891" s="131" t="str">
        <f t="shared" si="13"/>
        <v>13</v>
      </c>
    </row>
    <row r="892" spans="1:10" s="114" customFormat="1" ht="24" hidden="1" customHeight="1">
      <c r="A892" s="398">
        <v>19</v>
      </c>
      <c r="B892" s="132" t="s">
        <v>817</v>
      </c>
      <c r="C892" s="439" t="s">
        <v>443</v>
      </c>
      <c r="D892" s="440" t="s">
        <v>989</v>
      </c>
      <c r="E892" s="398" t="s">
        <v>1556</v>
      </c>
      <c r="F892" s="398" t="s">
        <v>786</v>
      </c>
      <c r="G892" s="398"/>
      <c r="H892" s="398" t="s">
        <v>281</v>
      </c>
      <c r="I892" s="401"/>
      <c r="J892" s="131" t="str">
        <f t="shared" si="13"/>
        <v>13</v>
      </c>
    </row>
    <row r="893" spans="1:10" s="115" customFormat="1" ht="24" hidden="1" customHeight="1">
      <c r="A893" s="398">
        <v>20</v>
      </c>
      <c r="B893" s="132" t="s">
        <v>818</v>
      </c>
      <c r="C893" s="439" t="s">
        <v>663</v>
      </c>
      <c r="D893" s="440" t="s">
        <v>2070</v>
      </c>
      <c r="E893" s="398" t="s">
        <v>355</v>
      </c>
      <c r="F893" s="398" t="s">
        <v>786</v>
      </c>
      <c r="G893" s="398"/>
      <c r="H893" s="398" t="s">
        <v>486</v>
      </c>
      <c r="I893" s="401"/>
      <c r="J893" s="131" t="str">
        <f t="shared" si="13"/>
        <v>13</v>
      </c>
    </row>
    <row r="894" spans="1:10" s="114" customFormat="1" ht="24" hidden="1" customHeight="1">
      <c r="A894" s="398">
        <v>21</v>
      </c>
      <c r="B894" s="132" t="s">
        <v>819</v>
      </c>
      <c r="C894" s="439" t="s">
        <v>443</v>
      </c>
      <c r="D894" s="440" t="s">
        <v>331</v>
      </c>
      <c r="E894" s="398" t="s">
        <v>820</v>
      </c>
      <c r="F894" s="398" t="s">
        <v>786</v>
      </c>
      <c r="G894" s="398"/>
      <c r="H894" s="398" t="s">
        <v>281</v>
      </c>
      <c r="I894" s="401"/>
      <c r="J894" s="131" t="str">
        <f t="shared" si="13"/>
        <v>13</v>
      </c>
    </row>
    <row r="895" spans="1:10" s="116" customFormat="1" ht="24" hidden="1" customHeight="1">
      <c r="A895" s="398">
        <v>22</v>
      </c>
      <c r="B895" s="132" t="s">
        <v>821</v>
      </c>
      <c r="C895" s="439" t="s">
        <v>822</v>
      </c>
      <c r="D895" s="440" t="s">
        <v>333</v>
      </c>
      <c r="E895" s="398" t="s">
        <v>2120</v>
      </c>
      <c r="F895" s="398" t="s">
        <v>786</v>
      </c>
      <c r="G895" s="398"/>
      <c r="H895" s="398" t="s">
        <v>281</v>
      </c>
      <c r="I895" s="401"/>
      <c r="J895" s="131" t="str">
        <f t="shared" si="13"/>
        <v>13</v>
      </c>
    </row>
    <row r="896" spans="1:10" s="114" customFormat="1" ht="24" hidden="1" customHeight="1">
      <c r="A896" s="398">
        <v>23</v>
      </c>
      <c r="B896" s="132" t="s">
        <v>823</v>
      </c>
      <c r="C896" s="439" t="s">
        <v>824</v>
      </c>
      <c r="D896" s="440" t="s">
        <v>213</v>
      </c>
      <c r="E896" s="398" t="s">
        <v>532</v>
      </c>
      <c r="F896" s="398" t="s">
        <v>786</v>
      </c>
      <c r="G896" s="398"/>
      <c r="H896" s="398" t="s">
        <v>486</v>
      </c>
      <c r="I896" s="401"/>
      <c r="J896" s="131" t="str">
        <f t="shared" si="13"/>
        <v>13</v>
      </c>
    </row>
    <row r="897" spans="1:10" s="114" customFormat="1" ht="24" hidden="1" customHeight="1">
      <c r="A897" s="398">
        <v>24</v>
      </c>
      <c r="B897" s="403" t="s">
        <v>2684</v>
      </c>
      <c r="C897" s="439" t="s">
        <v>201</v>
      </c>
      <c r="D897" s="440" t="s">
        <v>213</v>
      </c>
      <c r="E897" s="398" t="s">
        <v>1771</v>
      </c>
      <c r="F897" s="398" t="s">
        <v>786</v>
      </c>
      <c r="G897" s="400" t="s">
        <v>325</v>
      </c>
      <c r="H897" s="398"/>
      <c r="I897" s="404" t="s">
        <v>2685</v>
      </c>
      <c r="J897" s="131" t="str">
        <f t="shared" si="13"/>
        <v>13</v>
      </c>
    </row>
    <row r="898" spans="1:10" s="115" customFormat="1" ht="24" hidden="1" customHeight="1">
      <c r="A898" s="398">
        <v>25</v>
      </c>
      <c r="B898" s="132" t="s">
        <v>825</v>
      </c>
      <c r="C898" s="439" t="s">
        <v>826</v>
      </c>
      <c r="D898" s="440" t="s">
        <v>827</v>
      </c>
      <c r="E898" s="398" t="s">
        <v>828</v>
      </c>
      <c r="F898" s="398" t="s">
        <v>786</v>
      </c>
      <c r="G898" s="398" t="s">
        <v>283</v>
      </c>
      <c r="H898" s="398" t="s">
        <v>281</v>
      </c>
      <c r="I898" s="401"/>
      <c r="J898" s="131" t="str">
        <f t="shared" si="13"/>
        <v>13</v>
      </c>
    </row>
    <row r="899" spans="1:10" s="116" customFormat="1" ht="24" hidden="1" customHeight="1">
      <c r="A899" s="398">
        <v>26</v>
      </c>
      <c r="B899" s="132" t="s">
        <v>829</v>
      </c>
      <c r="C899" s="439" t="s">
        <v>830</v>
      </c>
      <c r="D899" s="440" t="s">
        <v>1188</v>
      </c>
      <c r="E899" s="398" t="s">
        <v>465</v>
      </c>
      <c r="F899" s="398" t="s">
        <v>786</v>
      </c>
      <c r="G899" s="398" t="s">
        <v>283</v>
      </c>
      <c r="H899" s="398" t="s">
        <v>281</v>
      </c>
      <c r="I899" s="401"/>
      <c r="J899" s="131" t="str">
        <f t="shared" ref="J899:J951" si="14">LEFT(F899,2)</f>
        <v>13</v>
      </c>
    </row>
    <row r="900" spans="1:10" s="116" customFormat="1" ht="24" hidden="1" customHeight="1">
      <c r="A900" s="398">
        <v>27</v>
      </c>
      <c r="B900" s="132" t="s">
        <v>831</v>
      </c>
      <c r="C900" s="439" t="s">
        <v>2287</v>
      </c>
      <c r="D900" s="440" t="s">
        <v>171</v>
      </c>
      <c r="E900" s="398" t="s">
        <v>355</v>
      </c>
      <c r="F900" s="398" t="s">
        <v>786</v>
      </c>
      <c r="G900" s="398"/>
      <c r="H900" s="398" t="s">
        <v>486</v>
      </c>
      <c r="I900" s="401"/>
      <c r="J900" s="131" t="str">
        <f t="shared" si="14"/>
        <v>13</v>
      </c>
    </row>
    <row r="901" spans="1:10" s="116" customFormat="1" ht="24" hidden="1" customHeight="1">
      <c r="A901" s="398">
        <v>28</v>
      </c>
      <c r="B901" s="132" t="s">
        <v>832</v>
      </c>
      <c r="C901" s="439" t="s">
        <v>474</v>
      </c>
      <c r="D901" s="440" t="s">
        <v>377</v>
      </c>
      <c r="E901" s="398" t="s">
        <v>1971</v>
      </c>
      <c r="F901" s="398" t="s">
        <v>786</v>
      </c>
      <c r="G901" s="398"/>
      <c r="H901" s="398" t="s">
        <v>281</v>
      </c>
      <c r="I901" s="401"/>
      <c r="J901" s="131" t="str">
        <f t="shared" si="14"/>
        <v>13</v>
      </c>
    </row>
    <row r="902" spans="1:10" s="114" customFormat="1" ht="24" hidden="1" customHeight="1">
      <c r="A902" s="398">
        <v>29</v>
      </c>
      <c r="B902" s="132" t="s">
        <v>833</v>
      </c>
      <c r="C902" s="439" t="s">
        <v>284</v>
      </c>
      <c r="D902" s="440" t="s">
        <v>344</v>
      </c>
      <c r="E902" s="398" t="s">
        <v>834</v>
      </c>
      <c r="F902" s="398" t="s">
        <v>786</v>
      </c>
      <c r="G902" s="400" t="s">
        <v>360</v>
      </c>
      <c r="H902" s="398" t="s">
        <v>281</v>
      </c>
      <c r="I902" s="401"/>
      <c r="J902" s="131" t="str">
        <f t="shared" si="14"/>
        <v>13</v>
      </c>
    </row>
    <row r="903" spans="1:10" s="114" customFormat="1" ht="24" hidden="1" customHeight="1">
      <c r="A903" s="398">
        <v>30</v>
      </c>
      <c r="B903" s="132" t="s">
        <v>835</v>
      </c>
      <c r="C903" s="439" t="s">
        <v>193</v>
      </c>
      <c r="D903" s="440" t="s">
        <v>223</v>
      </c>
      <c r="E903" s="398" t="s">
        <v>2164</v>
      </c>
      <c r="F903" s="398" t="s">
        <v>786</v>
      </c>
      <c r="G903" s="398"/>
      <c r="H903" s="398" t="s">
        <v>486</v>
      </c>
      <c r="I903" s="401"/>
      <c r="J903" s="131" t="str">
        <f t="shared" si="14"/>
        <v>13</v>
      </c>
    </row>
    <row r="904" spans="1:10" s="116" customFormat="1" ht="24" hidden="1" customHeight="1">
      <c r="A904" s="398">
        <v>31</v>
      </c>
      <c r="B904" s="132" t="s">
        <v>836</v>
      </c>
      <c r="C904" s="439" t="s">
        <v>1442</v>
      </c>
      <c r="D904" s="440" t="s">
        <v>837</v>
      </c>
      <c r="E904" s="398" t="s">
        <v>2497</v>
      </c>
      <c r="F904" s="398" t="s">
        <v>786</v>
      </c>
      <c r="G904" s="398"/>
      <c r="H904" s="398" t="s">
        <v>281</v>
      </c>
      <c r="I904" s="401"/>
      <c r="J904" s="131" t="str">
        <f t="shared" si="14"/>
        <v>13</v>
      </c>
    </row>
    <row r="905" spans="1:10" s="114" customFormat="1" ht="24" hidden="1" customHeight="1">
      <c r="A905" s="398">
        <v>32</v>
      </c>
      <c r="B905" s="132" t="s">
        <v>838</v>
      </c>
      <c r="C905" s="439" t="s">
        <v>839</v>
      </c>
      <c r="D905" s="440" t="s">
        <v>446</v>
      </c>
      <c r="E905" s="398" t="s">
        <v>154</v>
      </c>
      <c r="F905" s="398" t="s">
        <v>786</v>
      </c>
      <c r="G905" s="398"/>
      <c r="H905" s="398" t="s">
        <v>281</v>
      </c>
      <c r="I905" s="401" t="s">
        <v>173</v>
      </c>
      <c r="J905" s="131" t="str">
        <f t="shared" si="14"/>
        <v>13</v>
      </c>
    </row>
    <row r="906" spans="1:10" s="114" customFormat="1" ht="24" hidden="1" customHeight="1">
      <c r="A906" s="398">
        <v>33</v>
      </c>
      <c r="B906" s="132" t="s">
        <v>840</v>
      </c>
      <c r="C906" s="439" t="s">
        <v>841</v>
      </c>
      <c r="D906" s="440" t="s">
        <v>1099</v>
      </c>
      <c r="E906" s="398" t="s">
        <v>426</v>
      </c>
      <c r="F906" s="398" t="s">
        <v>786</v>
      </c>
      <c r="G906" s="400" t="s">
        <v>336</v>
      </c>
      <c r="H906" s="398" t="s">
        <v>486</v>
      </c>
      <c r="I906" s="401"/>
      <c r="J906" s="131" t="str">
        <f t="shared" si="14"/>
        <v>13</v>
      </c>
    </row>
    <row r="907" spans="1:10" s="114" customFormat="1" ht="24" hidden="1" customHeight="1">
      <c r="A907" s="398">
        <v>34</v>
      </c>
      <c r="B907" s="132" t="s">
        <v>842</v>
      </c>
      <c r="C907" s="439" t="s">
        <v>843</v>
      </c>
      <c r="D907" s="440" t="s">
        <v>228</v>
      </c>
      <c r="E907" s="398" t="s">
        <v>1746</v>
      </c>
      <c r="F907" s="398" t="s">
        <v>786</v>
      </c>
      <c r="G907" s="398"/>
      <c r="H907" s="398" t="s">
        <v>486</v>
      </c>
      <c r="I907" s="401"/>
      <c r="J907" s="131" t="str">
        <f t="shared" si="14"/>
        <v>13</v>
      </c>
    </row>
    <row r="908" spans="1:10" s="116" customFormat="1" ht="24" hidden="1" customHeight="1">
      <c r="A908" s="398">
        <v>35</v>
      </c>
      <c r="B908" s="132" t="s">
        <v>844</v>
      </c>
      <c r="C908" s="439" t="s">
        <v>845</v>
      </c>
      <c r="D908" s="440" t="s">
        <v>471</v>
      </c>
      <c r="E908" s="398" t="s">
        <v>846</v>
      </c>
      <c r="F908" s="398" t="s">
        <v>786</v>
      </c>
      <c r="G908" s="398"/>
      <c r="H908" s="398" t="s">
        <v>486</v>
      </c>
      <c r="I908" s="401"/>
      <c r="J908" s="131" t="str">
        <f t="shared" si="14"/>
        <v>13</v>
      </c>
    </row>
    <row r="909" spans="1:10" s="114" customFormat="1" ht="24" hidden="1" customHeight="1">
      <c r="A909" s="398">
        <v>36</v>
      </c>
      <c r="B909" s="132" t="s">
        <v>847</v>
      </c>
      <c r="C909" s="439" t="s">
        <v>848</v>
      </c>
      <c r="D909" s="440" t="s">
        <v>471</v>
      </c>
      <c r="E909" s="398" t="s">
        <v>2399</v>
      </c>
      <c r="F909" s="398" t="s">
        <v>786</v>
      </c>
      <c r="G909" s="398"/>
      <c r="H909" s="398" t="s">
        <v>281</v>
      </c>
      <c r="I909" s="401"/>
      <c r="J909" s="131" t="str">
        <f t="shared" si="14"/>
        <v>13</v>
      </c>
    </row>
    <row r="910" spans="1:10" s="114" customFormat="1" ht="24" hidden="1" customHeight="1">
      <c r="A910" s="398">
        <v>37</v>
      </c>
      <c r="B910" s="132" t="s">
        <v>849</v>
      </c>
      <c r="C910" s="439" t="s">
        <v>850</v>
      </c>
      <c r="D910" s="440" t="s">
        <v>235</v>
      </c>
      <c r="E910" s="398" t="s">
        <v>2089</v>
      </c>
      <c r="F910" s="398" t="s">
        <v>786</v>
      </c>
      <c r="G910" s="398"/>
      <c r="H910" s="398" t="s">
        <v>281</v>
      </c>
      <c r="I910" s="401"/>
      <c r="J910" s="131" t="str">
        <f t="shared" si="14"/>
        <v>13</v>
      </c>
    </row>
    <row r="911" spans="1:10" s="114" customFormat="1" ht="24" hidden="1" customHeight="1">
      <c r="A911" s="398">
        <v>38</v>
      </c>
      <c r="B911" s="132" t="s">
        <v>851</v>
      </c>
      <c r="C911" s="439" t="s">
        <v>395</v>
      </c>
      <c r="D911" s="440" t="s">
        <v>235</v>
      </c>
      <c r="E911" s="398" t="s">
        <v>852</v>
      </c>
      <c r="F911" s="398" t="s">
        <v>786</v>
      </c>
      <c r="G911" s="398"/>
      <c r="H911" s="398" t="s">
        <v>281</v>
      </c>
      <c r="I911" s="401"/>
      <c r="J911" s="131" t="str">
        <f t="shared" si="14"/>
        <v>13</v>
      </c>
    </row>
    <row r="912" spans="1:10" s="114" customFormat="1" ht="24" hidden="1" customHeight="1">
      <c r="A912" s="398">
        <v>39</v>
      </c>
      <c r="B912" s="132" t="s">
        <v>853</v>
      </c>
      <c r="C912" s="439" t="s">
        <v>198</v>
      </c>
      <c r="D912" s="440" t="s">
        <v>236</v>
      </c>
      <c r="E912" s="398" t="s">
        <v>2470</v>
      </c>
      <c r="F912" s="398" t="s">
        <v>786</v>
      </c>
      <c r="G912" s="398"/>
      <c r="H912" s="398" t="s">
        <v>281</v>
      </c>
      <c r="I912" s="401"/>
      <c r="J912" s="131" t="str">
        <f t="shared" si="14"/>
        <v>13</v>
      </c>
    </row>
    <row r="913" spans="1:10" s="114" customFormat="1" ht="24" hidden="1" customHeight="1" thickBot="1">
      <c r="A913" s="406">
        <v>40</v>
      </c>
      <c r="B913" s="132" t="s">
        <v>854</v>
      </c>
      <c r="C913" s="441" t="s">
        <v>855</v>
      </c>
      <c r="D913" s="442" t="s">
        <v>1195</v>
      </c>
      <c r="E913" s="406" t="s">
        <v>154</v>
      </c>
      <c r="F913" s="406" t="s">
        <v>786</v>
      </c>
      <c r="G913" s="406"/>
      <c r="H913" s="406" t="s">
        <v>281</v>
      </c>
      <c r="I913" s="417"/>
      <c r="J913" s="131" t="str">
        <f t="shared" si="14"/>
        <v>13</v>
      </c>
    </row>
    <row r="914" spans="1:10" s="114" customFormat="1" ht="24" hidden="1" customHeight="1">
      <c r="A914" s="408">
        <v>1</v>
      </c>
      <c r="B914" s="132" t="s">
        <v>858</v>
      </c>
      <c r="C914" s="443" t="s">
        <v>859</v>
      </c>
      <c r="D914" s="444" t="s">
        <v>364</v>
      </c>
      <c r="E914" s="408" t="s">
        <v>2010</v>
      </c>
      <c r="F914" s="409" t="s">
        <v>860</v>
      </c>
      <c r="G914" s="408"/>
      <c r="H914" s="408" t="s">
        <v>281</v>
      </c>
      <c r="I914" s="410"/>
      <c r="J914" s="131" t="str">
        <f t="shared" si="14"/>
        <v>13</v>
      </c>
    </row>
    <row r="915" spans="1:10" s="114" customFormat="1" ht="24" hidden="1" customHeight="1">
      <c r="A915" s="398">
        <v>2</v>
      </c>
      <c r="B915" s="132" t="s">
        <v>861</v>
      </c>
      <c r="C915" s="439" t="s">
        <v>482</v>
      </c>
      <c r="D915" s="440" t="s">
        <v>364</v>
      </c>
      <c r="E915" s="398" t="s">
        <v>1118</v>
      </c>
      <c r="F915" s="398" t="s">
        <v>860</v>
      </c>
      <c r="G915" s="398"/>
      <c r="H915" s="398" t="s">
        <v>281</v>
      </c>
      <c r="I915" s="401"/>
      <c r="J915" s="131" t="str">
        <f t="shared" si="14"/>
        <v>13</v>
      </c>
    </row>
    <row r="916" spans="1:10" s="114" customFormat="1" ht="24" hidden="1" customHeight="1">
      <c r="A916" s="398">
        <v>3</v>
      </c>
      <c r="B916" s="132" t="s">
        <v>862</v>
      </c>
      <c r="C916" s="439" t="s">
        <v>863</v>
      </c>
      <c r="D916" s="440" t="s">
        <v>364</v>
      </c>
      <c r="E916" s="398" t="s">
        <v>1089</v>
      </c>
      <c r="F916" s="398" t="s">
        <v>860</v>
      </c>
      <c r="G916" s="398"/>
      <c r="H916" s="398" t="s">
        <v>486</v>
      </c>
      <c r="I916" s="401"/>
      <c r="J916" s="131" t="str">
        <f t="shared" si="14"/>
        <v>13</v>
      </c>
    </row>
    <row r="917" spans="1:10" s="114" customFormat="1" ht="24" hidden="1" customHeight="1">
      <c r="A917" s="398">
        <v>4</v>
      </c>
      <c r="B917" s="132" t="s">
        <v>864</v>
      </c>
      <c r="C917" s="439" t="s">
        <v>865</v>
      </c>
      <c r="D917" s="440" t="s">
        <v>291</v>
      </c>
      <c r="E917" s="398" t="s">
        <v>2280</v>
      </c>
      <c r="F917" s="398" t="s">
        <v>860</v>
      </c>
      <c r="G917" s="400" t="s">
        <v>360</v>
      </c>
      <c r="H917" s="398" t="s">
        <v>281</v>
      </c>
      <c r="I917" s="401"/>
      <c r="J917" s="131" t="str">
        <f t="shared" si="14"/>
        <v>13</v>
      </c>
    </row>
    <row r="918" spans="1:10" s="114" customFormat="1" ht="24" hidden="1" customHeight="1">
      <c r="A918" s="398">
        <v>5</v>
      </c>
      <c r="B918" s="132" t="s">
        <v>866</v>
      </c>
      <c r="C918" s="439" t="s">
        <v>867</v>
      </c>
      <c r="D918" s="440" t="s">
        <v>200</v>
      </c>
      <c r="E918" s="398" t="s">
        <v>868</v>
      </c>
      <c r="F918" s="398" t="s">
        <v>860</v>
      </c>
      <c r="G918" s="398"/>
      <c r="H918" s="398" t="s">
        <v>281</v>
      </c>
      <c r="I918" s="401"/>
      <c r="J918" s="131" t="str">
        <f t="shared" si="14"/>
        <v>13</v>
      </c>
    </row>
    <row r="919" spans="1:10" s="114" customFormat="1" ht="24" hidden="1" customHeight="1">
      <c r="A919" s="398">
        <v>6</v>
      </c>
      <c r="B919" s="132" t="s">
        <v>869</v>
      </c>
      <c r="C919" s="439" t="s">
        <v>14</v>
      </c>
      <c r="D919" s="440" t="s">
        <v>435</v>
      </c>
      <c r="E919" s="398" t="s">
        <v>1331</v>
      </c>
      <c r="F919" s="398" t="s">
        <v>860</v>
      </c>
      <c r="G919" s="398"/>
      <c r="H919" s="398" t="s">
        <v>281</v>
      </c>
      <c r="I919" s="401"/>
      <c r="J919" s="131" t="str">
        <f t="shared" si="14"/>
        <v>13</v>
      </c>
    </row>
    <row r="920" spans="1:10" s="114" customFormat="1" ht="24" hidden="1" customHeight="1">
      <c r="A920" s="398">
        <v>7</v>
      </c>
      <c r="B920" s="132" t="s">
        <v>870</v>
      </c>
      <c r="C920" s="439" t="s">
        <v>871</v>
      </c>
      <c r="D920" s="440" t="s">
        <v>366</v>
      </c>
      <c r="E920" s="398" t="s">
        <v>872</v>
      </c>
      <c r="F920" s="398" t="s">
        <v>860</v>
      </c>
      <c r="G920" s="398"/>
      <c r="H920" s="398" t="s">
        <v>486</v>
      </c>
      <c r="I920" s="416"/>
      <c r="J920" s="131" t="str">
        <f t="shared" si="14"/>
        <v>13</v>
      </c>
    </row>
    <row r="921" spans="1:10" s="114" customFormat="1" ht="24" hidden="1" customHeight="1">
      <c r="A921" s="398">
        <v>8</v>
      </c>
      <c r="B921" s="132" t="s">
        <v>873</v>
      </c>
      <c r="C921" s="439" t="s">
        <v>431</v>
      </c>
      <c r="D921" s="440" t="s">
        <v>438</v>
      </c>
      <c r="E921" s="398" t="s">
        <v>1266</v>
      </c>
      <c r="F921" s="398" t="s">
        <v>860</v>
      </c>
      <c r="G921" s="398"/>
      <c r="H921" s="398" t="s">
        <v>281</v>
      </c>
      <c r="I921" s="401"/>
      <c r="J921" s="131" t="str">
        <f t="shared" si="14"/>
        <v>13</v>
      </c>
    </row>
    <row r="922" spans="1:10" s="114" customFormat="1" ht="24" hidden="1" customHeight="1">
      <c r="A922" s="398">
        <v>9</v>
      </c>
      <c r="B922" s="132" t="s">
        <v>874</v>
      </c>
      <c r="C922" s="439" t="s">
        <v>875</v>
      </c>
      <c r="D922" s="440" t="s">
        <v>406</v>
      </c>
      <c r="E922" s="398" t="s">
        <v>1371</v>
      </c>
      <c r="F922" s="398" t="s">
        <v>860</v>
      </c>
      <c r="G922" s="398"/>
      <c r="H922" s="398" t="s">
        <v>281</v>
      </c>
      <c r="I922" s="401"/>
      <c r="J922" s="131" t="str">
        <f t="shared" si="14"/>
        <v>13</v>
      </c>
    </row>
    <row r="923" spans="1:10" s="114" customFormat="1" ht="24" hidden="1" customHeight="1">
      <c r="A923" s="398">
        <v>10</v>
      </c>
      <c r="B923" s="132" t="s">
        <v>876</v>
      </c>
      <c r="C923" s="439" t="s">
        <v>877</v>
      </c>
      <c r="D923" s="440" t="s">
        <v>2156</v>
      </c>
      <c r="E923" s="398" t="s">
        <v>878</v>
      </c>
      <c r="F923" s="398" t="s">
        <v>860</v>
      </c>
      <c r="G923" s="398"/>
      <c r="H923" s="398" t="s">
        <v>281</v>
      </c>
      <c r="I923" s="401"/>
      <c r="J923" s="131" t="str">
        <f t="shared" si="14"/>
        <v>13</v>
      </c>
    </row>
    <row r="924" spans="1:10" s="114" customFormat="1" ht="24" hidden="1" customHeight="1">
      <c r="A924" s="398">
        <v>11</v>
      </c>
      <c r="B924" s="132" t="s">
        <v>879</v>
      </c>
      <c r="C924" s="439" t="s">
        <v>880</v>
      </c>
      <c r="D924" s="440" t="s">
        <v>881</v>
      </c>
      <c r="E924" s="398" t="s">
        <v>1118</v>
      </c>
      <c r="F924" s="398" t="s">
        <v>860</v>
      </c>
      <c r="G924" s="398"/>
      <c r="H924" s="398" t="s">
        <v>281</v>
      </c>
      <c r="I924" s="401"/>
      <c r="J924" s="131" t="str">
        <f t="shared" si="14"/>
        <v>13</v>
      </c>
    </row>
    <row r="925" spans="1:10" s="114" customFormat="1" ht="24" hidden="1" customHeight="1">
      <c r="A925" s="398">
        <v>12</v>
      </c>
      <c r="B925" s="132" t="s">
        <v>882</v>
      </c>
      <c r="C925" s="439" t="s">
        <v>883</v>
      </c>
      <c r="D925" s="440" t="s">
        <v>454</v>
      </c>
      <c r="E925" s="398" t="s">
        <v>485</v>
      </c>
      <c r="F925" s="398" t="s">
        <v>860</v>
      </c>
      <c r="G925" s="398"/>
      <c r="H925" s="398" t="s">
        <v>281</v>
      </c>
      <c r="I925" s="401"/>
      <c r="J925" s="131" t="str">
        <f t="shared" si="14"/>
        <v>13</v>
      </c>
    </row>
    <row r="926" spans="1:10" s="114" customFormat="1" ht="24" hidden="1" customHeight="1">
      <c r="A926" s="398">
        <v>13</v>
      </c>
      <c r="B926" s="132" t="s">
        <v>884</v>
      </c>
      <c r="C926" s="439" t="s">
        <v>885</v>
      </c>
      <c r="D926" s="440" t="s">
        <v>886</v>
      </c>
      <c r="E926" s="398" t="s">
        <v>887</v>
      </c>
      <c r="F926" s="398" t="s">
        <v>860</v>
      </c>
      <c r="G926" s="398" t="s">
        <v>283</v>
      </c>
      <c r="H926" s="398" t="s">
        <v>281</v>
      </c>
      <c r="I926" s="401"/>
      <c r="J926" s="131" t="str">
        <f t="shared" si="14"/>
        <v>13</v>
      </c>
    </row>
    <row r="927" spans="1:10" s="114" customFormat="1" ht="24" hidden="1" customHeight="1">
      <c r="A927" s="398">
        <v>14</v>
      </c>
      <c r="B927" s="132" t="s">
        <v>888</v>
      </c>
      <c r="C927" s="439" t="s">
        <v>1756</v>
      </c>
      <c r="D927" s="440" t="s">
        <v>1182</v>
      </c>
      <c r="E927" s="398" t="s">
        <v>1300</v>
      </c>
      <c r="F927" s="398" t="s">
        <v>860</v>
      </c>
      <c r="G927" s="400" t="s">
        <v>336</v>
      </c>
      <c r="H927" s="398" t="s">
        <v>281</v>
      </c>
      <c r="I927" s="401"/>
      <c r="J927" s="131" t="str">
        <f t="shared" si="14"/>
        <v>13</v>
      </c>
    </row>
    <row r="928" spans="1:10" s="114" customFormat="1" ht="24" hidden="1" customHeight="1">
      <c r="A928" s="398">
        <v>15</v>
      </c>
      <c r="B928" s="132" t="s">
        <v>889</v>
      </c>
      <c r="C928" s="439" t="s">
        <v>994</v>
      </c>
      <c r="D928" s="440" t="s">
        <v>331</v>
      </c>
      <c r="E928" s="398" t="s">
        <v>1033</v>
      </c>
      <c r="F928" s="398" t="s">
        <v>860</v>
      </c>
      <c r="G928" s="398"/>
      <c r="H928" s="398" t="s">
        <v>486</v>
      </c>
      <c r="I928" s="401"/>
      <c r="J928" s="131" t="str">
        <f t="shared" si="14"/>
        <v>13</v>
      </c>
    </row>
    <row r="929" spans="1:10" s="114" customFormat="1" ht="24" hidden="1" customHeight="1">
      <c r="A929" s="398">
        <v>16</v>
      </c>
      <c r="B929" s="132" t="s">
        <v>890</v>
      </c>
      <c r="C929" s="439" t="s">
        <v>891</v>
      </c>
      <c r="D929" s="440" t="s">
        <v>331</v>
      </c>
      <c r="E929" s="398" t="s">
        <v>149</v>
      </c>
      <c r="F929" s="398" t="s">
        <v>860</v>
      </c>
      <c r="G929" s="398"/>
      <c r="H929" s="398" t="s">
        <v>486</v>
      </c>
      <c r="I929" s="401" t="s">
        <v>173</v>
      </c>
      <c r="J929" s="131" t="str">
        <f t="shared" si="14"/>
        <v>13</v>
      </c>
    </row>
    <row r="930" spans="1:10" s="114" customFormat="1" ht="24" hidden="1" customHeight="1">
      <c r="A930" s="398">
        <v>17</v>
      </c>
      <c r="B930" s="132" t="s">
        <v>892</v>
      </c>
      <c r="C930" s="439" t="s">
        <v>1209</v>
      </c>
      <c r="D930" s="440" t="s">
        <v>333</v>
      </c>
      <c r="E930" s="398" t="s">
        <v>893</v>
      </c>
      <c r="F930" s="398" t="s">
        <v>860</v>
      </c>
      <c r="G930" s="398"/>
      <c r="H930" s="398" t="s">
        <v>486</v>
      </c>
      <c r="I930" s="401"/>
      <c r="J930" s="131" t="str">
        <f t="shared" si="14"/>
        <v>13</v>
      </c>
    </row>
    <row r="931" spans="1:10" s="114" customFormat="1" ht="24" hidden="1" customHeight="1">
      <c r="A931" s="398">
        <v>18</v>
      </c>
      <c r="B931" s="132" t="s">
        <v>894</v>
      </c>
      <c r="C931" s="439" t="s">
        <v>1773</v>
      </c>
      <c r="D931" s="440" t="s">
        <v>213</v>
      </c>
      <c r="E931" s="398" t="s">
        <v>895</v>
      </c>
      <c r="F931" s="398" t="s">
        <v>860</v>
      </c>
      <c r="G931" s="398"/>
      <c r="H931" s="398" t="s">
        <v>281</v>
      </c>
      <c r="I931" s="401"/>
      <c r="J931" s="131" t="str">
        <f t="shared" si="14"/>
        <v>13</v>
      </c>
    </row>
    <row r="932" spans="1:10" s="114" customFormat="1" ht="24" hidden="1" customHeight="1">
      <c r="A932" s="398">
        <v>19</v>
      </c>
      <c r="B932" s="132" t="s">
        <v>896</v>
      </c>
      <c r="C932" s="439" t="s">
        <v>2119</v>
      </c>
      <c r="D932" s="440" t="s">
        <v>213</v>
      </c>
      <c r="E932" s="398" t="s">
        <v>897</v>
      </c>
      <c r="F932" s="398" t="s">
        <v>860</v>
      </c>
      <c r="G932" s="398"/>
      <c r="H932" s="398" t="s">
        <v>281</v>
      </c>
      <c r="I932" s="401"/>
      <c r="J932" s="131" t="str">
        <f t="shared" si="14"/>
        <v>13</v>
      </c>
    </row>
    <row r="933" spans="1:10" s="114" customFormat="1" ht="24" hidden="1" customHeight="1">
      <c r="A933" s="398">
        <v>20</v>
      </c>
      <c r="B933" s="132" t="s">
        <v>898</v>
      </c>
      <c r="C933" s="439" t="s">
        <v>986</v>
      </c>
      <c r="D933" s="440" t="s">
        <v>335</v>
      </c>
      <c r="E933" s="398" t="s">
        <v>1181</v>
      </c>
      <c r="F933" s="398" t="s">
        <v>860</v>
      </c>
      <c r="G933" s="398"/>
      <c r="H933" s="398" t="s">
        <v>281</v>
      </c>
      <c r="I933" s="401"/>
      <c r="J933" s="131" t="str">
        <f t="shared" si="14"/>
        <v>13</v>
      </c>
    </row>
    <row r="934" spans="1:10" s="114" customFormat="1" ht="24" hidden="1" customHeight="1">
      <c r="A934" s="398">
        <v>21</v>
      </c>
      <c r="B934" s="132" t="s">
        <v>899</v>
      </c>
      <c r="C934" s="439" t="s">
        <v>900</v>
      </c>
      <c r="D934" s="440" t="s">
        <v>339</v>
      </c>
      <c r="E934" s="398" t="s">
        <v>52</v>
      </c>
      <c r="F934" s="398" t="s">
        <v>860</v>
      </c>
      <c r="G934" s="400"/>
      <c r="H934" s="398" t="s">
        <v>281</v>
      </c>
      <c r="I934" s="401"/>
      <c r="J934" s="131" t="str">
        <f t="shared" si="14"/>
        <v>13</v>
      </c>
    </row>
    <row r="935" spans="1:10" s="114" customFormat="1" ht="24" hidden="1" customHeight="1">
      <c r="A935" s="398">
        <v>22</v>
      </c>
      <c r="B935" s="132" t="s">
        <v>901</v>
      </c>
      <c r="C935" s="439" t="s">
        <v>902</v>
      </c>
      <c r="D935" s="440" t="s">
        <v>341</v>
      </c>
      <c r="E935" s="398" t="s">
        <v>290</v>
      </c>
      <c r="F935" s="398" t="s">
        <v>860</v>
      </c>
      <c r="G935" s="400"/>
      <c r="H935" s="398" t="s">
        <v>486</v>
      </c>
      <c r="I935" s="401"/>
      <c r="J935" s="131" t="str">
        <f t="shared" si="14"/>
        <v>13</v>
      </c>
    </row>
    <row r="936" spans="1:10" s="114" customFormat="1" ht="24" hidden="1" customHeight="1">
      <c r="A936" s="398">
        <v>23</v>
      </c>
      <c r="B936" s="132" t="s">
        <v>903</v>
      </c>
      <c r="C936" s="439" t="s">
        <v>2385</v>
      </c>
      <c r="D936" s="440" t="s">
        <v>1307</v>
      </c>
      <c r="E936" s="398" t="s">
        <v>1735</v>
      </c>
      <c r="F936" s="398" t="s">
        <v>860</v>
      </c>
      <c r="G936" s="398"/>
      <c r="H936" s="398" t="s">
        <v>281</v>
      </c>
      <c r="I936" s="401"/>
      <c r="J936" s="131" t="str">
        <f t="shared" si="14"/>
        <v>13</v>
      </c>
    </row>
    <row r="937" spans="1:10" ht="23.25" hidden="1" customHeight="1">
      <c r="A937" s="398">
        <v>24</v>
      </c>
      <c r="B937" s="132" t="s">
        <v>904</v>
      </c>
      <c r="C937" s="439" t="s">
        <v>905</v>
      </c>
      <c r="D937" s="440" t="s">
        <v>178</v>
      </c>
      <c r="E937" s="398" t="s">
        <v>1154</v>
      </c>
      <c r="F937" s="398" t="s">
        <v>860</v>
      </c>
      <c r="G937" s="398"/>
      <c r="H937" s="398" t="s">
        <v>281</v>
      </c>
      <c r="I937" s="401"/>
      <c r="J937" s="131" t="str">
        <f t="shared" si="14"/>
        <v>13</v>
      </c>
    </row>
    <row r="938" spans="1:10" ht="23.25" hidden="1" customHeight="1">
      <c r="A938" s="398">
        <v>25</v>
      </c>
      <c r="B938" s="132" t="s">
        <v>906</v>
      </c>
      <c r="C938" s="439" t="s">
        <v>392</v>
      </c>
      <c r="D938" s="440" t="s">
        <v>220</v>
      </c>
      <c r="E938" s="398" t="s">
        <v>179</v>
      </c>
      <c r="F938" s="398" t="s">
        <v>860</v>
      </c>
      <c r="G938" s="398"/>
      <c r="H938" s="398" t="s">
        <v>281</v>
      </c>
      <c r="I938" s="401"/>
      <c r="J938" s="131" t="str">
        <f t="shared" si="14"/>
        <v>13</v>
      </c>
    </row>
    <row r="939" spans="1:10" ht="23.25" hidden="1" customHeight="1">
      <c r="A939" s="398">
        <v>26</v>
      </c>
      <c r="B939" s="132" t="s">
        <v>907</v>
      </c>
      <c r="C939" s="439" t="s">
        <v>193</v>
      </c>
      <c r="D939" s="440" t="s">
        <v>221</v>
      </c>
      <c r="E939" s="398" t="s">
        <v>908</v>
      </c>
      <c r="F939" s="398" t="s">
        <v>860</v>
      </c>
      <c r="G939" s="400"/>
      <c r="H939" s="398" t="s">
        <v>486</v>
      </c>
      <c r="I939" s="401"/>
      <c r="J939" s="131" t="str">
        <f t="shared" si="14"/>
        <v>13</v>
      </c>
    </row>
    <row r="940" spans="1:10" ht="23.25" hidden="1" customHeight="1">
      <c r="A940" s="398">
        <v>27</v>
      </c>
      <c r="B940" s="132" t="s">
        <v>909</v>
      </c>
      <c r="C940" s="439" t="s">
        <v>2295</v>
      </c>
      <c r="D940" s="440" t="s">
        <v>352</v>
      </c>
      <c r="E940" s="398" t="s">
        <v>399</v>
      </c>
      <c r="F940" s="398" t="s">
        <v>860</v>
      </c>
      <c r="G940" s="398"/>
      <c r="H940" s="398" t="s">
        <v>281</v>
      </c>
      <c r="I940" s="401"/>
      <c r="J940" s="131" t="str">
        <f t="shared" si="14"/>
        <v>13</v>
      </c>
    </row>
    <row r="941" spans="1:10" ht="23.25" hidden="1" customHeight="1">
      <c r="A941" s="398">
        <v>28</v>
      </c>
      <c r="B941" s="132" t="s">
        <v>910</v>
      </c>
      <c r="C941" s="439" t="s">
        <v>1274</v>
      </c>
      <c r="D941" s="440" t="s">
        <v>468</v>
      </c>
      <c r="E941" s="398" t="s">
        <v>2322</v>
      </c>
      <c r="F941" s="398" t="s">
        <v>860</v>
      </c>
      <c r="G941" s="398"/>
      <c r="H941" s="398" t="s">
        <v>281</v>
      </c>
      <c r="I941" s="401"/>
      <c r="J941" s="131" t="str">
        <f t="shared" si="14"/>
        <v>13</v>
      </c>
    </row>
    <row r="942" spans="1:10" ht="23.25" hidden="1" customHeight="1">
      <c r="A942" s="398">
        <v>29</v>
      </c>
      <c r="B942" s="132" t="s">
        <v>911</v>
      </c>
      <c r="C942" s="439" t="s">
        <v>209</v>
      </c>
      <c r="D942" s="440" t="s">
        <v>391</v>
      </c>
      <c r="E942" s="398" t="s">
        <v>180</v>
      </c>
      <c r="F942" s="398" t="s">
        <v>860</v>
      </c>
      <c r="G942" s="398"/>
      <c r="H942" s="398" t="s">
        <v>281</v>
      </c>
      <c r="I942" s="401"/>
      <c r="J942" s="131" t="str">
        <f t="shared" si="14"/>
        <v>13</v>
      </c>
    </row>
    <row r="943" spans="1:10" ht="23.25" hidden="1" customHeight="1">
      <c r="A943" s="398">
        <v>30</v>
      </c>
      <c r="B943" s="132" t="s">
        <v>912</v>
      </c>
      <c r="C943" s="439" t="s">
        <v>913</v>
      </c>
      <c r="D943" s="440" t="s">
        <v>1099</v>
      </c>
      <c r="E943" s="398" t="s">
        <v>1199</v>
      </c>
      <c r="F943" s="398" t="s">
        <v>860</v>
      </c>
      <c r="G943" s="398"/>
      <c r="H943" s="398" t="s">
        <v>281</v>
      </c>
      <c r="I943" s="401"/>
      <c r="J943" s="131" t="str">
        <f t="shared" si="14"/>
        <v>13</v>
      </c>
    </row>
    <row r="944" spans="1:10" ht="23.25" hidden="1" customHeight="1">
      <c r="A944" s="398">
        <v>31</v>
      </c>
      <c r="B944" s="132" t="s">
        <v>914</v>
      </c>
      <c r="C944" s="439" t="s">
        <v>193</v>
      </c>
      <c r="D944" s="440" t="s">
        <v>230</v>
      </c>
      <c r="E944" s="398" t="s">
        <v>1325</v>
      </c>
      <c r="F944" s="398" t="s">
        <v>860</v>
      </c>
      <c r="G944" s="398"/>
      <c r="H944" s="398"/>
      <c r="I944" s="401"/>
      <c r="J944" s="131" t="str">
        <f t="shared" si="14"/>
        <v>13</v>
      </c>
    </row>
    <row r="945" spans="1:10" ht="23.25" hidden="1" customHeight="1">
      <c r="A945" s="398">
        <v>32</v>
      </c>
      <c r="B945" s="132" t="s">
        <v>915</v>
      </c>
      <c r="C945" s="439" t="s">
        <v>201</v>
      </c>
      <c r="D945" s="440" t="s">
        <v>916</v>
      </c>
      <c r="E945" s="398" t="s">
        <v>1498</v>
      </c>
      <c r="F945" s="398" t="s">
        <v>860</v>
      </c>
      <c r="G945" s="398"/>
      <c r="H945" s="398" t="s">
        <v>281</v>
      </c>
      <c r="I945" s="401"/>
      <c r="J945" s="131" t="str">
        <f t="shared" si="14"/>
        <v>13</v>
      </c>
    </row>
    <row r="946" spans="1:10" ht="23.25" hidden="1" customHeight="1">
      <c r="A946" s="398">
        <v>33</v>
      </c>
      <c r="B946" s="132" t="s">
        <v>917</v>
      </c>
      <c r="C946" s="439" t="s">
        <v>918</v>
      </c>
      <c r="D946" s="440" t="s">
        <v>354</v>
      </c>
      <c r="E946" s="398" t="s">
        <v>1148</v>
      </c>
      <c r="F946" s="398" t="s">
        <v>860</v>
      </c>
      <c r="G946" s="398"/>
      <c r="H946" s="398" t="s">
        <v>281</v>
      </c>
      <c r="I946" s="401"/>
      <c r="J946" s="131" t="str">
        <f t="shared" si="14"/>
        <v>13</v>
      </c>
    </row>
    <row r="947" spans="1:10" ht="23.25" hidden="1" customHeight="1">
      <c r="A947" s="398">
        <v>34</v>
      </c>
      <c r="B947" s="132" t="s">
        <v>919</v>
      </c>
      <c r="C947" s="439" t="s">
        <v>920</v>
      </c>
      <c r="D947" s="440" t="s">
        <v>354</v>
      </c>
      <c r="E947" s="398" t="s">
        <v>538</v>
      </c>
      <c r="F947" s="398" t="s">
        <v>860</v>
      </c>
      <c r="G947" s="398"/>
      <c r="H947" s="398" t="s">
        <v>281</v>
      </c>
      <c r="I947" s="401"/>
      <c r="J947" s="131" t="str">
        <f t="shared" si="14"/>
        <v>13</v>
      </c>
    </row>
    <row r="948" spans="1:10" ht="23.25" hidden="1" customHeight="1">
      <c r="A948" s="398">
        <v>35</v>
      </c>
      <c r="B948" s="132" t="s">
        <v>921</v>
      </c>
      <c r="C948" s="439" t="s">
        <v>922</v>
      </c>
      <c r="D948" s="440" t="s">
        <v>233</v>
      </c>
      <c r="E948" s="398" t="s">
        <v>1294</v>
      </c>
      <c r="F948" s="398" t="s">
        <v>860</v>
      </c>
      <c r="G948" s="398" t="s">
        <v>283</v>
      </c>
      <c r="H948" s="398" t="s">
        <v>486</v>
      </c>
      <c r="I948" s="401"/>
      <c r="J948" s="131" t="str">
        <f t="shared" si="14"/>
        <v>13</v>
      </c>
    </row>
    <row r="949" spans="1:10" ht="23.25" hidden="1" customHeight="1">
      <c r="A949" s="398">
        <v>36</v>
      </c>
      <c r="B949" s="132" t="s">
        <v>923</v>
      </c>
      <c r="C949" s="439" t="s">
        <v>443</v>
      </c>
      <c r="D949" s="440" t="s">
        <v>235</v>
      </c>
      <c r="E949" s="398" t="s">
        <v>924</v>
      </c>
      <c r="F949" s="398" t="s">
        <v>860</v>
      </c>
      <c r="G949" s="398"/>
      <c r="H949" s="398" t="s">
        <v>486</v>
      </c>
      <c r="I949" s="401"/>
      <c r="J949" s="131" t="str">
        <f t="shared" si="14"/>
        <v>13</v>
      </c>
    </row>
    <row r="950" spans="1:10" ht="23.25" hidden="1" customHeight="1">
      <c r="A950" s="398">
        <v>37</v>
      </c>
      <c r="B950" s="132" t="s">
        <v>925</v>
      </c>
      <c r="C950" s="439" t="s">
        <v>926</v>
      </c>
      <c r="D950" s="440" t="s">
        <v>927</v>
      </c>
      <c r="E950" s="398" t="s">
        <v>928</v>
      </c>
      <c r="F950" s="398" t="s">
        <v>860</v>
      </c>
      <c r="G950" s="398"/>
      <c r="H950" s="398" t="s">
        <v>281</v>
      </c>
      <c r="I950" s="401" t="s">
        <v>929</v>
      </c>
      <c r="J950" s="131" t="str">
        <f t="shared" si="14"/>
        <v>13</v>
      </c>
    </row>
    <row r="951" spans="1:10" ht="23.25" hidden="1" customHeight="1" thickBot="1">
      <c r="A951" s="406">
        <v>38</v>
      </c>
      <c r="B951" s="132" t="s">
        <v>930</v>
      </c>
      <c r="C951" s="441" t="s">
        <v>931</v>
      </c>
      <c r="D951" s="442" t="s">
        <v>932</v>
      </c>
      <c r="E951" s="436" t="s">
        <v>983</v>
      </c>
      <c r="F951" s="406" t="s">
        <v>860</v>
      </c>
      <c r="G951" s="406" t="s">
        <v>283</v>
      </c>
      <c r="H951" s="406" t="s">
        <v>281</v>
      </c>
      <c r="I951" s="417" t="s">
        <v>330</v>
      </c>
      <c r="J951" s="131" t="str">
        <f t="shared" si="14"/>
        <v>13</v>
      </c>
    </row>
  </sheetData>
  <sheetProtection sheet="1" autoFilter="0"/>
  <autoFilter ref="F1:F951">
    <filterColumn colId="0">
      <filters>
        <filter val="13CĐ-Đ1"/>
      </filters>
    </filterColumn>
  </autoFilter>
  <mergeCells count="1">
    <mergeCell ref="K1:M1"/>
  </mergeCells>
  <phoneticPr fontId="9"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0000"/>
    <pageSetUpPr fitToPage="1"/>
  </sheetPr>
  <dimension ref="A1:FE99"/>
  <sheetViews>
    <sheetView tabSelected="1" topLeftCell="A49" zoomScale="70" zoomScaleNormal="70" workbookViewId="0">
      <selection activeCell="BI53" sqref="BI53"/>
    </sheetView>
  </sheetViews>
  <sheetFormatPr defaultRowHeight="12.75"/>
  <cols>
    <col min="1" max="1" width="5" style="2" bestFit="1" customWidth="1"/>
    <col min="2" max="2" width="11.28515625" style="2" customWidth="1"/>
    <col min="3" max="3" width="24.28515625" style="2" bestFit="1" customWidth="1"/>
    <col min="4" max="4" width="10.140625" style="2" bestFit="1" customWidth="1"/>
    <col min="5" max="5" width="5.140625" style="2" bestFit="1" customWidth="1"/>
    <col min="6" max="7" width="4.42578125" style="2" bestFit="1" customWidth="1"/>
    <col min="8" max="8" width="6.42578125" style="2" hidden="1" customWidth="1"/>
    <col min="9" max="9" width="5.85546875" style="2" hidden="1" customWidth="1"/>
    <col min="10" max="19" width="6.42578125" style="17" hidden="1" customWidth="1"/>
    <col min="20" max="30" width="6.42578125" style="2" hidden="1" customWidth="1"/>
    <col min="31" max="31" width="6.5703125" style="2" hidden="1" customWidth="1"/>
    <col min="32" max="57" width="6.42578125" style="2" hidden="1" customWidth="1"/>
    <col min="58" max="58" width="7.7109375" style="2" customWidth="1"/>
    <col min="59" max="60" width="10.7109375" style="2" customWidth="1"/>
    <col min="61" max="61" width="18.28515625" style="2" customWidth="1"/>
    <col min="62" max="62" width="13.140625" style="2" customWidth="1"/>
    <col min="63" max="66" width="6.7109375" style="2" customWidth="1"/>
    <col min="67" max="70" width="6.7109375" style="57" customWidth="1"/>
    <col min="71" max="71" width="15.7109375" style="2" customWidth="1"/>
    <col min="72" max="72" width="10" style="2" hidden="1" customWidth="1"/>
    <col min="73" max="74" width="6.42578125" style="10" hidden="1" customWidth="1"/>
    <col min="75" max="84" width="6.42578125" style="2" hidden="1" customWidth="1"/>
    <col min="85" max="85" width="7" style="2" hidden="1" customWidth="1"/>
    <col min="86" max="92" width="6" style="2" hidden="1" customWidth="1"/>
    <col min="93" max="94" width="7" style="2" hidden="1" customWidth="1"/>
    <col min="95" max="97" width="6" style="2" hidden="1" customWidth="1"/>
    <col min="98" max="98" width="7.85546875" style="2" hidden="1" customWidth="1"/>
    <col min="99" max="101" width="6.28515625" style="2" hidden="1" customWidth="1"/>
    <col min="102" max="110" width="6.28515625" style="10" hidden="1" customWidth="1"/>
    <col min="111" max="111" width="7.5703125" style="10" hidden="1" customWidth="1"/>
    <col min="112" max="135" width="6.28515625" style="2" hidden="1" customWidth="1"/>
    <col min="136" max="136" width="7.5703125" style="2" hidden="1" customWidth="1"/>
    <col min="137" max="139" width="6.28515625" style="2" hidden="1" customWidth="1"/>
    <col min="140" max="148" width="6.28515625" style="10" hidden="1" customWidth="1"/>
    <col min="149" max="149" width="7.5703125" style="10" hidden="1" customWidth="1"/>
    <col min="150" max="150" width="6.85546875" style="2" hidden="1" customWidth="1"/>
    <col min="151" max="151" width="5.140625" style="2" bestFit="1" customWidth="1"/>
    <col min="152" max="153" width="4.28515625" style="2" customWidth="1"/>
    <col min="154" max="161" width="4.28515625" style="10" customWidth="1"/>
    <col min="162" max="171" width="4.28515625" style="2" customWidth="1"/>
    <col min="172" max="172" width="5.140625" style="2" bestFit="1" customWidth="1"/>
    <col min="173" max="174" width="4.28515625" style="2" customWidth="1"/>
    <col min="175" max="16384" width="9.140625" style="2"/>
  </cols>
  <sheetData>
    <row r="1" spans="1:161" s="61" customFormat="1" ht="18.75" customHeight="1">
      <c r="A1" s="501" t="s">
        <v>2688</v>
      </c>
      <c r="B1" s="501"/>
      <c r="C1" s="501"/>
      <c r="D1" s="501"/>
      <c r="E1" s="501"/>
      <c r="F1" s="501"/>
      <c r="G1" s="501"/>
      <c r="H1" s="501"/>
      <c r="I1" s="501"/>
      <c r="J1" s="501"/>
      <c r="K1" s="501"/>
      <c r="L1" s="501"/>
      <c r="M1" s="501"/>
      <c r="N1" s="501"/>
      <c r="O1" s="70"/>
      <c r="P1" s="70"/>
      <c r="Q1" s="67"/>
      <c r="R1" s="67"/>
      <c r="S1" s="67"/>
      <c r="T1" s="67"/>
      <c r="AV1" s="503"/>
      <c r="AW1" s="503"/>
      <c r="AX1" s="503"/>
      <c r="AY1" s="503"/>
      <c r="AZ1" s="503"/>
      <c r="BA1" s="503"/>
      <c r="BB1" s="503"/>
      <c r="BC1" s="503"/>
      <c r="BD1" s="503" t="s">
        <v>2689</v>
      </c>
      <c r="BE1" s="503"/>
      <c r="BF1" s="503"/>
      <c r="BG1" s="503"/>
      <c r="BH1" s="503"/>
      <c r="BI1" s="503"/>
      <c r="BJ1" s="503"/>
      <c r="BK1" s="503"/>
      <c r="BL1" s="503"/>
      <c r="BM1" s="503"/>
      <c r="BN1" s="503"/>
      <c r="BO1" s="503"/>
      <c r="BP1" s="503"/>
      <c r="BQ1" s="503"/>
      <c r="BR1" s="503"/>
      <c r="BS1" s="503"/>
      <c r="BT1" s="67"/>
      <c r="BU1" s="499" t="str">
        <f>$H6</f>
        <v>Đường lối CM của Đảng cộng sản VN</v>
      </c>
      <c r="BV1" s="499" t="str">
        <f>$L6</f>
        <v>Điều khiển lập trình PLC 1</v>
      </c>
      <c r="BW1" s="499" t="str">
        <f>$P6</f>
        <v>Truyền động điện và ứng dụng</v>
      </c>
      <c r="BX1" s="499" t="str">
        <f>$T6</f>
        <v>Nhà máy điện và trạm biến áp</v>
      </c>
      <c r="BY1" s="499" t="str">
        <f>$X6</f>
        <v>Điện công nghiệp</v>
      </c>
      <c r="BZ1" s="499" t="str">
        <f>$AB6</f>
        <v/>
      </c>
      <c r="CA1" s="499" t="str">
        <f>$AF6</f>
        <v/>
      </c>
      <c r="CB1" s="499" t="str">
        <f>$AJ6</f>
        <v/>
      </c>
      <c r="CC1" s="499" t="str">
        <f>$AN6</f>
        <v/>
      </c>
      <c r="CD1" s="499" t="str">
        <f>$AR6</f>
        <v>Thực tập Máy điện</v>
      </c>
      <c r="CE1" s="499" t="str">
        <f>$AV6</f>
        <v>Thực tập Vi xử lý và PLC</v>
      </c>
      <c r="CF1" s="499" t="str">
        <f>$AZ6</f>
        <v>Thực tập Đo lường cảm biến</v>
      </c>
      <c r="CH1" s="499" t="str">
        <f>$H6</f>
        <v>Đường lối CM của Đảng cộng sản VN</v>
      </c>
      <c r="CI1" s="499" t="str">
        <f>$L6</f>
        <v>Điều khiển lập trình PLC 1</v>
      </c>
      <c r="CJ1" s="499" t="str">
        <f>$P6</f>
        <v>Truyền động điện và ứng dụng</v>
      </c>
      <c r="CK1" s="499" t="str">
        <f>$T6</f>
        <v>Nhà máy điện và trạm biến áp</v>
      </c>
      <c r="CL1" s="499" t="str">
        <f>$X6</f>
        <v>Điện công nghiệp</v>
      </c>
      <c r="CM1" s="499" t="str">
        <f>$AB6</f>
        <v/>
      </c>
      <c r="CN1" s="499" t="str">
        <f>$AF6</f>
        <v/>
      </c>
      <c r="CO1" s="499" t="str">
        <f>$AJ6</f>
        <v/>
      </c>
      <c r="CP1" s="499" t="str">
        <f>$AN6</f>
        <v/>
      </c>
      <c r="CQ1" s="499" t="str">
        <f>$AR6</f>
        <v>Thực tập Máy điện</v>
      </c>
      <c r="CR1" s="499" t="str">
        <f>$AV6</f>
        <v>Thực tập Vi xử lý và PLC</v>
      </c>
      <c r="CS1" s="499" t="str">
        <f>$AZ6</f>
        <v>Thực tập Đo lường cảm biến</v>
      </c>
      <c r="CU1" s="499" t="str">
        <f>$H6</f>
        <v>Đường lối CM của Đảng cộng sản VN</v>
      </c>
      <c r="CV1" s="499" t="str">
        <f>$L6</f>
        <v>Điều khiển lập trình PLC 1</v>
      </c>
      <c r="CW1" s="499" t="str">
        <f>$P6</f>
        <v>Truyền động điện và ứng dụng</v>
      </c>
      <c r="CX1" s="499" t="str">
        <f>$T6</f>
        <v>Nhà máy điện và trạm biến áp</v>
      </c>
      <c r="CY1" s="499" t="str">
        <f>$X6</f>
        <v>Điện công nghiệp</v>
      </c>
      <c r="CZ1" s="499" t="str">
        <f>$AB6</f>
        <v/>
      </c>
      <c r="DA1" s="499" t="str">
        <f>$AF6</f>
        <v/>
      </c>
      <c r="DB1" s="499" t="str">
        <f>$AJ6</f>
        <v/>
      </c>
      <c r="DC1" s="499" t="str">
        <f>$AN6</f>
        <v/>
      </c>
      <c r="DD1" s="499" t="str">
        <f>$AR6</f>
        <v>Thực tập Máy điện</v>
      </c>
      <c r="DE1" s="499" t="str">
        <f>$AV6</f>
        <v>Thực tập Vi xử lý và PLC</v>
      </c>
      <c r="DF1" s="499" t="str">
        <f>$AZ6</f>
        <v>Thực tập Đo lường cảm biến</v>
      </c>
      <c r="DG1" s="63"/>
      <c r="DH1" s="499" t="str">
        <f>$H6</f>
        <v>Đường lối CM của Đảng cộng sản VN</v>
      </c>
      <c r="DI1" s="499" t="str">
        <f>$L6</f>
        <v>Điều khiển lập trình PLC 1</v>
      </c>
      <c r="DJ1" s="499" t="str">
        <f>$P6</f>
        <v>Truyền động điện và ứng dụng</v>
      </c>
      <c r="DK1" s="499" t="str">
        <f>$T6</f>
        <v>Nhà máy điện và trạm biến áp</v>
      </c>
      <c r="DL1" s="499" t="str">
        <f>$X6</f>
        <v>Điện công nghiệp</v>
      </c>
      <c r="DM1" s="499" t="str">
        <f>$AB6</f>
        <v/>
      </c>
      <c r="DN1" s="499" t="str">
        <f>$AF6</f>
        <v/>
      </c>
      <c r="DO1" s="499" t="str">
        <f>$AJ6</f>
        <v/>
      </c>
      <c r="DP1" s="499" t="str">
        <f>$AN6</f>
        <v/>
      </c>
      <c r="DQ1" s="499" t="str">
        <f>$AR6</f>
        <v>Thực tập Máy điện</v>
      </c>
      <c r="DR1" s="499" t="str">
        <f>$AV6</f>
        <v>Thực tập Vi xử lý và PLC</v>
      </c>
      <c r="DS1" s="499" t="str">
        <f>$AZ6</f>
        <v>Thực tập Đo lường cảm biến</v>
      </c>
      <c r="DT1" s="499" t="str">
        <f>$H6</f>
        <v>Đường lối CM của Đảng cộng sản VN</v>
      </c>
      <c r="DU1" s="499" t="str">
        <f>$L6</f>
        <v>Điều khiển lập trình PLC 1</v>
      </c>
      <c r="DV1" s="499" t="str">
        <f>$P6</f>
        <v>Truyền động điện và ứng dụng</v>
      </c>
      <c r="DW1" s="499" t="str">
        <f>$T6</f>
        <v>Nhà máy điện và trạm biến áp</v>
      </c>
      <c r="DX1" s="499" t="str">
        <f>$X6</f>
        <v>Điện công nghiệp</v>
      </c>
      <c r="DY1" s="499" t="str">
        <f>$AB6</f>
        <v/>
      </c>
      <c r="DZ1" s="499" t="str">
        <f>$AF6</f>
        <v/>
      </c>
      <c r="EA1" s="499" t="str">
        <f>$AJ6</f>
        <v/>
      </c>
      <c r="EB1" s="499" t="str">
        <f>$AN6</f>
        <v/>
      </c>
      <c r="EC1" s="499" t="str">
        <f>$AR6</f>
        <v>Thực tập Máy điện</v>
      </c>
      <c r="ED1" s="499" t="str">
        <f>$AV6</f>
        <v>Thực tập Vi xử lý và PLC</v>
      </c>
      <c r="EE1" s="499" t="str">
        <f>$AZ6</f>
        <v>Thực tập Đo lường cảm biến</v>
      </c>
      <c r="EG1" s="499" t="str">
        <f>$H6</f>
        <v>Đường lối CM của Đảng cộng sản VN</v>
      </c>
      <c r="EH1" s="499" t="str">
        <f>$L6</f>
        <v>Điều khiển lập trình PLC 1</v>
      </c>
      <c r="EI1" s="499" t="str">
        <f>$P6</f>
        <v>Truyền động điện và ứng dụng</v>
      </c>
      <c r="EJ1" s="499" t="str">
        <f>$T6</f>
        <v>Nhà máy điện và trạm biến áp</v>
      </c>
      <c r="EK1" s="499" t="str">
        <f>$X6</f>
        <v>Điện công nghiệp</v>
      </c>
      <c r="EL1" s="499" t="str">
        <f>$AB6</f>
        <v/>
      </c>
      <c r="EM1" s="499" t="str">
        <f>$AF6</f>
        <v/>
      </c>
      <c r="EN1" s="499" t="str">
        <f>$AJ6</f>
        <v/>
      </c>
      <c r="EO1" s="499" t="str">
        <f>$AN6</f>
        <v/>
      </c>
      <c r="EP1" s="499" t="str">
        <f>$AR6</f>
        <v>Thực tập Máy điện</v>
      </c>
      <c r="EQ1" s="499" t="str">
        <f>$AV6</f>
        <v>Thực tập Vi xử lý và PLC</v>
      </c>
      <c r="ER1" s="499" t="str">
        <f>$AZ6</f>
        <v>Thực tập Đo lường cảm biến</v>
      </c>
      <c r="ES1" s="63"/>
      <c r="EX1" s="63"/>
      <c r="EY1" s="63"/>
      <c r="EZ1" s="63"/>
      <c r="FA1" s="63"/>
      <c r="FB1" s="63"/>
      <c r="FC1" s="63"/>
      <c r="FD1" s="63"/>
      <c r="FE1" s="63"/>
    </row>
    <row r="2" spans="1:161" s="61" customFormat="1" ht="38.25" customHeight="1">
      <c r="A2" s="502" t="s">
        <v>2687</v>
      </c>
      <c r="B2" s="503"/>
      <c r="C2" s="503"/>
      <c r="D2" s="503"/>
      <c r="E2" s="503"/>
      <c r="F2" s="503"/>
      <c r="G2" s="503"/>
      <c r="H2" s="503"/>
      <c r="I2" s="503"/>
      <c r="J2" s="503"/>
      <c r="K2" s="503"/>
      <c r="L2" s="503"/>
      <c r="M2" s="503"/>
      <c r="N2" s="503"/>
      <c r="O2" s="67"/>
      <c r="P2" s="67"/>
      <c r="Q2" s="67"/>
      <c r="R2" s="67"/>
      <c r="S2" s="67"/>
      <c r="T2" s="67"/>
      <c r="AV2" s="503"/>
      <c r="AW2" s="503"/>
      <c r="AX2" s="503"/>
      <c r="AY2" s="503"/>
      <c r="AZ2" s="503"/>
      <c r="BA2" s="503"/>
      <c r="BB2" s="503"/>
      <c r="BC2" s="503"/>
      <c r="BD2" s="504" t="s">
        <v>156</v>
      </c>
      <c r="BE2" s="504"/>
      <c r="BF2" s="504"/>
      <c r="BG2" s="504"/>
      <c r="BH2" s="504"/>
      <c r="BI2" s="504"/>
      <c r="BJ2" s="504"/>
      <c r="BK2" s="504"/>
      <c r="BL2" s="504"/>
      <c r="BM2" s="504"/>
      <c r="BN2" s="504"/>
      <c r="BO2" s="504"/>
      <c r="BP2" s="504"/>
      <c r="BQ2" s="504"/>
      <c r="BR2" s="504"/>
      <c r="BS2" s="504"/>
      <c r="BT2" s="67"/>
      <c r="BU2" s="499"/>
      <c r="BV2" s="499"/>
      <c r="BW2" s="499"/>
      <c r="BX2" s="499"/>
      <c r="BY2" s="499"/>
      <c r="BZ2" s="499"/>
      <c r="CA2" s="499"/>
      <c r="CB2" s="499"/>
      <c r="CC2" s="499"/>
      <c r="CD2" s="499"/>
      <c r="CE2" s="499"/>
      <c r="CF2" s="499"/>
      <c r="CH2" s="499"/>
      <c r="CI2" s="499"/>
      <c r="CJ2" s="499"/>
      <c r="CK2" s="499"/>
      <c r="CL2" s="499"/>
      <c r="CM2" s="499"/>
      <c r="CN2" s="499"/>
      <c r="CO2" s="499"/>
      <c r="CP2" s="499"/>
      <c r="CQ2" s="499"/>
      <c r="CR2" s="499"/>
      <c r="CS2" s="499"/>
      <c r="CU2" s="499"/>
      <c r="CV2" s="499"/>
      <c r="CW2" s="499"/>
      <c r="CX2" s="499"/>
      <c r="CY2" s="499"/>
      <c r="CZ2" s="499"/>
      <c r="DA2" s="499"/>
      <c r="DB2" s="499"/>
      <c r="DC2" s="499"/>
      <c r="DD2" s="499"/>
      <c r="DE2" s="499"/>
      <c r="DF2" s="499"/>
      <c r="DG2" s="63"/>
      <c r="DH2" s="499"/>
      <c r="DI2" s="499"/>
      <c r="DJ2" s="499"/>
      <c r="DK2" s="499"/>
      <c r="DL2" s="499"/>
      <c r="DM2" s="499"/>
      <c r="DN2" s="499"/>
      <c r="DO2" s="499"/>
      <c r="DP2" s="499"/>
      <c r="DQ2" s="499"/>
      <c r="DR2" s="499"/>
      <c r="DS2" s="499"/>
      <c r="DT2" s="499"/>
      <c r="DU2" s="499"/>
      <c r="DV2" s="499"/>
      <c r="DW2" s="499"/>
      <c r="DX2" s="499"/>
      <c r="DY2" s="499"/>
      <c r="DZ2" s="499"/>
      <c r="EA2" s="499"/>
      <c r="EB2" s="499"/>
      <c r="EC2" s="499"/>
      <c r="ED2" s="499"/>
      <c r="EE2" s="499"/>
      <c r="EG2" s="499"/>
      <c r="EH2" s="499"/>
      <c r="EI2" s="499"/>
      <c r="EJ2" s="499"/>
      <c r="EK2" s="499"/>
      <c r="EL2" s="499"/>
      <c r="EM2" s="499"/>
      <c r="EN2" s="499"/>
      <c r="EO2" s="499"/>
      <c r="EP2" s="499"/>
      <c r="EQ2" s="499"/>
      <c r="ER2" s="499"/>
      <c r="ES2" s="63"/>
      <c r="EX2" s="63"/>
      <c r="EY2" s="63"/>
      <c r="EZ2" s="63"/>
      <c r="FA2" s="63"/>
      <c r="FB2" s="63"/>
      <c r="FC2" s="63"/>
      <c r="FD2" s="63"/>
      <c r="FE2" s="63"/>
    </row>
    <row r="3" spans="1:161" s="61" customFormat="1" ht="27" customHeight="1">
      <c r="C3" s="68" t="s">
        <v>187</v>
      </c>
      <c r="D3" s="565" t="str">
        <f>IF($B11="","",IF(ISNA(VLOOKUP($B11,'DS LOP HKI'!$B$2:$F$936,5,FALSE))=TRUE,"",VLOOKUP($B11,'DS LOP HKI'!$B$2:$F$936,5,FALSE)))</f>
        <v>13CĐ-Đ1</v>
      </c>
      <c r="E3" s="565"/>
      <c r="F3" s="565"/>
      <c r="G3" s="505" t="s">
        <v>239</v>
      </c>
      <c r="H3" s="505"/>
      <c r="I3" s="69">
        <f>IF(B11="",0,MAX($A$11:$A$89))</f>
        <v>50</v>
      </c>
      <c r="J3" s="70"/>
      <c r="K3" s="70"/>
      <c r="L3" s="70"/>
      <c r="M3" s="70"/>
      <c r="N3" s="70"/>
      <c r="O3" s="70"/>
      <c r="P3" s="70"/>
      <c r="Q3" s="70"/>
      <c r="R3" s="70"/>
      <c r="S3" s="70"/>
      <c r="T3" s="70"/>
      <c r="BP3" s="71"/>
      <c r="BQ3" s="71"/>
      <c r="BR3" s="71"/>
      <c r="BU3" s="499"/>
      <c r="BV3" s="499"/>
      <c r="BW3" s="499"/>
      <c r="BX3" s="499"/>
      <c r="BY3" s="499"/>
      <c r="BZ3" s="499"/>
      <c r="CA3" s="499"/>
      <c r="CB3" s="499"/>
      <c r="CC3" s="499"/>
      <c r="CD3" s="499"/>
      <c r="CE3" s="499"/>
      <c r="CF3" s="499"/>
      <c r="CH3" s="499"/>
      <c r="CI3" s="499"/>
      <c r="CJ3" s="499"/>
      <c r="CK3" s="499"/>
      <c r="CL3" s="499"/>
      <c r="CM3" s="499"/>
      <c r="CN3" s="499"/>
      <c r="CO3" s="499"/>
      <c r="CP3" s="499"/>
      <c r="CQ3" s="499"/>
      <c r="CR3" s="499"/>
      <c r="CS3" s="499"/>
      <c r="CU3" s="499"/>
      <c r="CV3" s="499"/>
      <c r="CW3" s="499"/>
      <c r="CX3" s="499"/>
      <c r="CY3" s="499"/>
      <c r="CZ3" s="499"/>
      <c r="DA3" s="499"/>
      <c r="DB3" s="499"/>
      <c r="DC3" s="499"/>
      <c r="DD3" s="499"/>
      <c r="DE3" s="499"/>
      <c r="DF3" s="499"/>
      <c r="DG3" s="63"/>
      <c r="DH3" s="499"/>
      <c r="DI3" s="499"/>
      <c r="DJ3" s="499"/>
      <c r="DK3" s="499"/>
      <c r="DL3" s="499"/>
      <c r="DM3" s="499"/>
      <c r="DN3" s="499"/>
      <c r="DO3" s="499"/>
      <c r="DP3" s="499"/>
      <c r="DQ3" s="499"/>
      <c r="DR3" s="499"/>
      <c r="DS3" s="499"/>
      <c r="DT3" s="499"/>
      <c r="DU3" s="499"/>
      <c r="DV3" s="499"/>
      <c r="DW3" s="499"/>
      <c r="DX3" s="499"/>
      <c r="DY3" s="499"/>
      <c r="DZ3" s="499"/>
      <c r="EA3" s="499"/>
      <c r="EB3" s="499"/>
      <c r="EC3" s="499"/>
      <c r="ED3" s="499"/>
      <c r="EE3" s="499"/>
      <c r="EG3" s="499"/>
      <c r="EH3" s="499"/>
      <c r="EI3" s="499"/>
      <c r="EJ3" s="499"/>
      <c r="EK3" s="499"/>
      <c r="EL3" s="499"/>
      <c r="EM3" s="499"/>
      <c r="EN3" s="499"/>
      <c r="EO3" s="499"/>
      <c r="EP3" s="499"/>
      <c r="EQ3" s="499"/>
      <c r="ER3" s="499"/>
      <c r="ES3" s="63"/>
      <c r="EX3" s="63"/>
      <c r="EY3" s="63"/>
      <c r="EZ3" s="63"/>
      <c r="FA3" s="63"/>
      <c r="FB3" s="63"/>
      <c r="FC3" s="63"/>
      <c r="FD3" s="63"/>
      <c r="FE3" s="63"/>
    </row>
    <row r="4" spans="1:161" s="74" customFormat="1" ht="30.75">
      <c r="A4" s="573" t="s">
        <v>2690</v>
      </c>
      <c r="B4" s="573"/>
      <c r="C4" s="573"/>
      <c r="D4" s="573"/>
      <c r="E4" s="573"/>
      <c r="F4" s="573"/>
      <c r="G4" s="573"/>
      <c r="H4" s="573"/>
      <c r="I4" s="573"/>
      <c r="J4" s="573"/>
      <c r="K4" s="573"/>
      <c r="L4" s="573"/>
      <c r="M4" s="573"/>
      <c r="N4" s="573"/>
      <c r="O4" s="573"/>
      <c r="P4" s="573"/>
      <c r="Q4" s="573"/>
      <c r="R4" s="573"/>
      <c r="S4" s="573"/>
      <c r="T4" s="573"/>
      <c r="U4" s="573"/>
      <c r="V4" s="573"/>
      <c r="W4" s="573"/>
      <c r="X4" s="573"/>
      <c r="Y4" s="573"/>
      <c r="Z4" s="573"/>
      <c r="AA4" s="573"/>
      <c r="AB4" s="573"/>
      <c r="AC4" s="573"/>
      <c r="AD4" s="573"/>
      <c r="AE4" s="573"/>
      <c r="AF4" s="573"/>
      <c r="AG4" s="573"/>
      <c r="AH4" s="573"/>
      <c r="AI4" s="573"/>
      <c r="AJ4" s="573"/>
      <c r="AK4" s="573"/>
      <c r="AL4" s="573"/>
      <c r="AM4" s="573"/>
      <c r="AN4" s="573"/>
      <c r="AO4" s="573"/>
      <c r="AP4" s="573"/>
      <c r="AQ4" s="573"/>
      <c r="AR4" s="573"/>
      <c r="AS4" s="573"/>
      <c r="AT4" s="573"/>
      <c r="AU4" s="573"/>
      <c r="AV4" s="573"/>
      <c r="AW4" s="573"/>
      <c r="AX4" s="573"/>
      <c r="AY4" s="573"/>
      <c r="AZ4" s="573"/>
      <c r="BA4" s="573"/>
      <c r="BB4" s="573"/>
      <c r="BC4" s="573"/>
      <c r="BD4" s="573"/>
      <c r="BE4" s="573"/>
      <c r="BF4" s="573"/>
      <c r="BG4" s="573"/>
      <c r="BH4" s="573"/>
      <c r="BI4" s="573"/>
      <c r="BJ4" s="573"/>
      <c r="BK4" s="573"/>
      <c r="BL4" s="573"/>
      <c r="BM4" s="573"/>
      <c r="BN4" s="573"/>
      <c r="BO4" s="573"/>
      <c r="BP4" s="573"/>
      <c r="BQ4" s="573"/>
      <c r="BR4" s="573"/>
      <c r="BS4" s="573"/>
      <c r="BT4" s="72"/>
      <c r="BU4" s="499"/>
      <c r="BV4" s="499"/>
      <c r="BW4" s="499"/>
      <c r="BX4" s="499"/>
      <c r="BY4" s="499"/>
      <c r="BZ4" s="499"/>
      <c r="CA4" s="499"/>
      <c r="CB4" s="499"/>
      <c r="CC4" s="499"/>
      <c r="CD4" s="499"/>
      <c r="CE4" s="499"/>
      <c r="CF4" s="499"/>
      <c r="CG4" s="72"/>
      <c r="CH4" s="499"/>
      <c r="CI4" s="499"/>
      <c r="CJ4" s="499"/>
      <c r="CK4" s="499"/>
      <c r="CL4" s="499"/>
      <c r="CM4" s="499"/>
      <c r="CN4" s="499"/>
      <c r="CO4" s="499"/>
      <c r="CP4" s="499"/>
      <c r="CQ4" s="499"/>
      <c r="CR4" s="499"/>
      <c r="CS4" s="499"/>
      <c r="CT4" s="229"/>
      <c r="CU4" s="499"/>
      <c r="CV4" s="499"/>
      <c r="CW4" s="499"/>
      <c r="CX4" s="499"/>
      <c r="CY4" s="499"/>
      <c r="CZ4" s="499"/>
      <c r="DA4" s="499"/>
      <c r="DB4" s="499"/>
      <c r="DC4" s="499"/>
      <c r="DD4" s="499"/>
      <c r="DE4" s="499"/>
      <c r="DF4" s="499"/>
      <c r="DG4" s="73"/>
      <c r="DH4" s="499"/>
      <c r="DI4" s="499"/>
      <c r="DJ4" s="499"/>
      <c r="DK4" s="499"/>
      <c r="DL4" s="499"/>
      <c r="DM4" s="499"/>
      <c r="DN4" s="499"/>
      <c r="DO4" s="499"/>
      <c r="DP4" s="499"/>
      <c r="DQ4" s="499"/>
      <c r="DR4" s="499"/>
      <c r="DS4" s="499"/>
      <c r="DT4" s="499"/>
      <c r="DU4" s="499"/>
      <c r="DV4" s="499"/>
      <c r="DW4" s="499"/>
      <c r="DX4" s="499"/>
      <c r="DY4" s="499"/>
      <c r="DZ4" s="499"/>
      <c r="EA4" s="499"/>
      <c r="EB4" s="499"/>
      <c r="EC4" s="499"/>
      <c r="ED4" s="499"/>
      <c r="EE4" s="499"/>
      <c r="EG4" s="499"/>
      <c r="EH4" s="499"/>
      <c r="EI4" s="499"/>
      <c r="EJ4" s="499"/>
      <c r="EK4" s="499"/>
      <c r="EL4" s="499"/>
      <c r="EM4" s="499"/>
      <c r="EN4" s="499"/>
      <c r="EO4" s="499"/>
      <c r="EP4" s="499"/>
      <c r="EQ4" s="499"/>
      <c r="ER4" s="499"/>
      <c r="ES4" s="73"/>
      <c r="EX4" s="75"/>
      <c r="EY4" s="75"/>
      <c r="EZ4" s="75"/>
      <c r="FA4" s="75"/>
      <c r="FB4" s="75"/>
      <c r="FC4" s="75"/>
      <c r="FD4" s="75"/>
      <c r="FE4" s="75"/>
    </row>
    <row r="5" spans="1:161" s="308" customFormat="1" ht="30.75" thickBot="1">
      <c r="B5" s="309">
        <v>1</v>
      </c>
      <c r="C5" s="309">
        <v>2</v>
      </c>
      <c r="D5" s="309">
        <v>3</v>
      </c>
      <c r="E5" s="309">
        <v>4</v>
      </c>
      <c r="F5" s="309">
        <v>5</v>
      </c>
      <c r="G5" s="309">
        <v>6</v>
      </c>
      <c r="H5" s="309">
        <v>7</v>
      </c>
      <c r="I5" s="309">
        <v>8</v>
      </c>
      <c r="J5" s="309">
        <v>9</v>
      </c>
      <c r="K5" s="309">
        <v>10</v>
      </c>
      <c r="L5" s="309">
        <v>11</v>
      </c>
      <c r="M5" s="309">
        <v>12</v>
      </c>
      <c r="N5" s="309">
        <v>13</v>
      </c>
      <c r="O5" s="309">
        <v>14</v>
      </c>
      <c r="P5" s="309">
        <v>15</v>
      </c>
      <c r="Q5" s="309">
        <v>16</v>
      </c>
      <c r="R5" s="309">
        <v>17</v>
      </c>
      <c r="S5" s="309">
        <v>18</v>
      </c>
      <c r="T5" s="309">
        <v>19</v>
      </c>
      <c r="U5" s="309">
        <v>20</v>
      </c>
      <c r="V5" s="309">
        <v>21</v>
      </c>
      <c r="W5" s="309">
        <v>22</v>
      </c>
      <c r="X5" s="309">
        <v>23</v>
      </c>
      <c r="Y5" s="309">
        <v>24</v>
      </c>
      <c r="Z5" s="309">
        <v>25</v>
      </c>
      <c r="AA5" s="309">
        <v>26</v>
      </c>
      <c r="AB5" s="309">
        <v>27</v>
      </c>
      <c r="AC5" s="309">
        <v>28</v>
      </c>
      <c r="AD5" s="309">
        <v>29</v>
      </c>
      <c r="AE5" s="309">
        <v>30</v>
      </c>
      <c r="AF5" s="309">
        <v>31</v>
      </c>
      <c r="AG5" s="309">
        <v>32</v>
      </c>
      <c r="AH5" s="309">
        <v>33</v>
      </c>
      <c r="AI5" s="309">
        <v>34</v>
      </c>
      <c r="AJ5" s="309">
        <v>35</v>
      </c>
      <c r="AK5" s="309">
        <v>36</v>
      </c>
      <c r="AL5" s="309">
        <v>37</v>
      </c>
      <c r="AM5" s="309">
        <v>38</v>
      </c>
      <c r="AN5" s="309"/>
      <c r="AO5" s="309"/>
      <c r="AP5" s="309"/>
      <c r="AQ5" s="309"/>
      <c r="AR5" s="309">
        <v>39</v>
      </c>
      <c r="AS5" s="309">
        <v>40</v>
      </c>
      <c r="AT5" s="309">
        <v>41</v>
      </c>
      <c r="AU5" s="309">
        <v>42</v>
      </c>
      <c r="AV5" s="309">
        <v>43</v>
      </c>
      <c r="AW5" s="309">
        <v>44</v>
      </c>
      <c r="AX5" s="309">
        <v>45</v>
      </c>
      <c r="AY5" s="309">
        <v>46</v>
      </c>
      <c r="AZ5" s="309">
        <v>47</v>
      </c>
      <c r="BA5" s="309">
        <v>48</v>
      </c>
      <c r="BB5" s="309">
        <v>49</v>
      </c>
      <c r="BC5" s="309">
        <v>50</v>
      </c>
      <c r="BD5" s="309">
        <v>51</v>
      </c>
      <c r="BE5" s="309">
        <v>52</v>
      </c>
      <c r="BF5" s="309">
        <v>53</v>
      </c>
      <c r="BG5" s="309">
        <v>54</v>
      </c>
      <c r="BH5" s="309">
        <v>55</v>
      </c>
      <c r="BI5" s="309">
        <v>56</v>
      </c>
      <c r="BJ5" s="309">
        <v>57</v>
      </c>
      <c r="BK5" s="309">
        <v>58</v>
      </c>
      <c r="BL5" s="309">
        <v>59</v>
      </c>
      <c r="BM5" s="309">
        <v>60</v>
      </c>
      <c r="BN5" s="309">
        <v>61</v>
      </c>
      <c r="BO5" s="309">
        <v>62</v>
      </c>
      <c r="BP5" s="309">
        <v>63</v>
      </c>
      <c r="BQ5" s="309">
        <v>64</v>
      </c>
      <c r="BR5" s="309">
        <v>65</v>
      </c>
      <c r="BS5" s="309">
        <v>67</v>
      </c>
      <c r="BU5" s="499"/>
      <c r="BV5" s="499"/>
      <c r="BW5" s="499"/>
      <c r="BX5" s="499"/>
      <c r="BY5" s="499"/>
      <c r="BZ5" s="499"/>
      <c r="CA5" s="499"/>
      <c r="CB5" s="499"/>
      <c r="CC5" s="499"/>
      <c r="CD5" s="499"/>
      <c r="CE5" s="499"/>
      <c r="CF5" s="499"/>
      <c r="CH5" s="499"/>
      <c r="CI5" s="499"/>
      <c r="CJ5" s="499"/>
      <c r="CK5" s="499"/>
      <c r="CL5" s="499"/>
      <c r="CM5" s="499"/>
      <c r="CN5" s="499"/>
      <c r="CO5" s="499"/>
      <c r="CP5" s="499"/>
      <c r="CQ5" s="499"/>
      <c r="CR5" s="499"/>
      <c r="CS5" s="499"/>
      <c r="CU5" s="499"/>
      <c r="CV5" s="499"/>
      <c r="CW5" s="499"/>
      <c r="CX5" s="499"/>
      <c r="CY5" s="499"/>
      <c r="CZ5" s="499"/>
      <c r="DA5" s="499"/>
      <c r="DB5" s="499"/>
      <c r="DC5" s="499"/>
      <c r="DD5" s="499"/>
      <c r="DE5" s="499"/>
      <c r="DF5" s="499"/>
      <c r="DG5" s="311"/>
      <c r="DH5" s="499"/>
      <c r="DI5" s="499"/>
      <c r="DJ5" s="499"/>
      <c r="DK5" s="499"/>
      <c r="DL5" s="499"/>
      <c r="DM5" s="499"/>
      <c r="DN5" s="499"/>
      <c r="DO5" s="499"/>
      <c r="DP5" s="499"/>
      <c r="DQ5" s="499"/>
      <c r="DR5" s="499"/>
      <c r="DS5" s="499"/>
      <c r="DT5" s="499"/>
      <c r="DU5" s="499"/>
      <c r="DV5" s="499"/>
      <c r="DW5" s="499"/>
      <c r="DX5" s="499"/>
      <c r="DY5" s="499"/>
      <c r="DZ5" s="499"/>
      <c r="EA5" s="499"/>
      <c r="EB5" s="499"/>
      <c r="EC5" s="499"/>
      <c r="ED5" s="499"/>
      <c r="EE5" s="499"/>
      <c r="EG5" s="499"/>
      <c r="EH5" s="499"/>
      <c r="EI5" s="499"/>
      <c r="EJ5" s="499"/>
      <c r="EK5" s="499"/>
      <c r="EL5" s="499"/>
      <c r="EM5" s="499"/>
      <c r="EN5" s="499"/>
      <c r="EO5" s="499"/>
      <c r="EP5" s="499"/>
      <c r="EQ5" s="499"/>
      <c r="ER5" s="499"/>
      <c r="ES5" s="310"/>
      <c r="EX5" s="310"/>
      <c r="EY5" s="310"/>
      <c r="EZ5" s="310"/>
      <c r="FA5" s="310"/>
      <c r="FB5" s="310"/>
      <c r="FC5" s="310"/>
      <c r="FD5" s="310"/>
      <c r="FE5" s="310"/>
    </row>
    <row r="6" spans="1:161" ht="46.5" customHeight="1" thickBot="1">
      <c r="A6" s="517" t="s">
        <v>244</v>
      </c>
      <c r="B6" s="509" t="s">
        <v>245</v>
      </c>
      <c r="C6" s="510"/>
      <c r="D6" s="510"/>
      <c r="E6" s="510"/>
      <c r="F6" s="510"/>
      <c r="G6" s="511"/>
      <c r="H6" s="506" t="str">
        <f>IF('LT01'!$C$6="","",'LT01'!$C$6)</f>
        <v>Đường lối CM của Đảng cộng sản VN</v>
      </c>
      <c r="I6" s="507"/>
      <c r="J6" s="507"/>
      <c r="K6" s="508"/>
      <c r="L6" s="512" t="str">
        <f>IF('LT02'!$C$6="","",'LT02'!$C$6)</f>
        <v>Điều khiển lập trình PLC 1</v>
      </c>
      <c r="M6" s="513"/>
      <c r="N6" s="513"/>
      <c r="O6" s="514"/>
      <c r="P6" s="512" t="str">
        <f>'LT03'!$C$6</f>
        <v>Truyền động điện và ứng dụng</v>
      </c>
      <c r="Q6" s="513"/>
      <c r="R6" s="513"/>
      <c r="S6" s="514"/>
      <c r="T6" s="512" t="str">
        <f>'LT04'!$C$6</f>
        <v>Nhà máy điện và trạm biến áp</v>
      </c>
      <c r="U6" s="513"/>
      <c r="V6" s="513"/>
      <c r="W6" s="514"/>
      <c r="X6" s="512" t="str">
        <f>'LT05'!$C$6</f>
        <v>Điện công nghiệp</v>
      </c>
      <c r="Y6" s="513"/>
      <c r="Z6" s="513"/>
      <c r="AA6" s="514"/>
      <c r="AB6" s="512" t="str">
        <f>'LT06'!$C$6</f>
        <v/>
      </c>
      <c r="AC6" s="513"/>
      <c r="AD6" s="513"/>
      <c r="AE6" s="514"/>
      <c r="AF6" s="512" t="str">
        <f>'LT07'!$C$6</f>
        <v/>
      </c>
      <c r="AG6" s="513"/>
      <c r="AH6" s="513"/>
      <c r="AI6" s="514"/>
      <c r="AJ6" s="512" t="str">
        <f>'DO AN'!$C$6</f>
        <v/>
      </c>
      <c r="AK6" s="513"/>
      <c r="AL6" s="513"/>
      <c r="AM6" s="514"/>
      <c r="AN6" s="512" t="str">
        <f>'DO AN 2'!$C$6</f>
        <v/>
      </c>
      <c r="AO6" s="513"/>
      <c r="AP6" s="513"/>
      <c r="AQ6" s="514"/>
      <c r="AR6" s="512" t="str">
        <f>'TH01'!$C$6</f>
        <v>Thực tập Máy điện</v>
      </c>
      <c r="AS6" s="513"/>
      <c r="AT6" s="513"/>
      <c r="AU6" s="514"/>
      <c r="AV6" s="512" t="str">
        <f>'TH02'!$C$6</f>
        <v>Thực tập Vi xử lý và PLC</v>
      </c>
      <c r="AW6" s="513"/>
      <c r="AX6" s="513"/>
      <c r="AY6" s="514"/>
      <c r="AZ6" s="512" t="str">
        <f>'TH03'!$C$6</f>
        <v>Thực tập Đo lường cảm biến</v>
      </c>
      <c r="BA6" s="513"/>
      <c r="BB6" s="513"/>
      <c r="BC6" s="514"/>
      <c r="BD6" s="515" t="s">
        <v>246</v>
      </c>
      <c r="BE6" s="516"/>
      <c r="BF6" s="587" t="s">
        <v>1135</v>
      </c>
      <c r="BG6" s="626" t="s">
        <v>1001</v>
      </c>
      <c r="BH6" s="627"/>
      <c r="BI6" s="520" t="s">
        <v>247</v>
      </c>
      <c r="BJ6" s="558" t="s">
        <v>1131</v>
      </c>
      <c r="BK6" s="558" t="s">
        <v>1004</v>
      </c>
      <c r="BL6" s="558" t="s">
        <v>1005</v>
      </c>
      <c r="BM6" s="558" t="s">
        <v>1006</v>
      </c>
      <c r="BN6" s="558" t="s">
        <v>1007</v>
      </c>
      <c r="BO6" s="558" t="s">
        <v>1008</v>
      </c>
      <c r="BP6" s="558" t="s">
        <v>1009</v>
      </c>
      <c r="BQ6" s="558" t="s">
        <v>1010</v>
      </c>
      <c r="BR6" s="558" t="s">
        <v>1011</v>
      </c>
      <c r="BS6" s="520" t="s">
        <v>248</v>
      </c>
      <c r="BU6" s="500"/>
      <c r="BV6" s="500"/>
      <c r="BW6" s="500"/>
      <c r="BX6" s="500"/>
      <c r="BY6" s="500"/>
      <c r="BZ6" s="500"/>
      <c r="CA6" s="500"/>
      <c r="CB6" s="500"/>
      <c r="CC6" s="500"/>
      <c r="CD6" s="500"/>
      <c r="CE6" s="500"/>
      <c r="CF6" s="500"/>
      <c r="CH6" s="500"/>
      <c r="CI6" s="500"/>
      <c r="CJ6" s="500"/>
      <c r="CK6" s="500"/>
      <c r="CL6" s="500"/>
      <c r="CM6" s="500"/>
      <c r="CN6" s="500"/>
      <c r="CO6" s="500"/>
      <c r="CP6" s="500"/>
      <c r="CQ6" s="500"/>
      <c r="CR6" s="500"/>
      <c r="CS6" s="500"/>
      <c r="CU6" s="500"/>
      <c r="CV6" s="500"/>
      <c r="CW6" s="500"/>
      <c r="CX6" s="500"/>
      <c r="CY6" s="500"/>
      <c r="CZ6" s="500"/>
      <c r="DA6" s="500"/>
      <c r="DB6" s="500"/>
      <c r="DC6" s="500"/>
      <c r="DD6" s="500"/>
      <c r="DE6" s="500"/>
      <c r="DF6" s="500"/>
      <c r="DH6" s="500"/>
      <c r="DI6" s="500"/>
      <c r="DJ6" s="500"/>
      <c r="DK6" s="500"/>
      <c r="DL6" s="500"/>
      <c r="DM6" s="500"/>
      <c r="DN6" s="500"/>
      <c r="DO6" s="500"/>
      <c r="DP6" s="500"/>
      <c r="DQ6" s="500"/>
      <c r="DR6" s="500"/>
      <c r="DS6" s="500"/>
      <c r="DT6" s="500"/>
      <c r="DU6" s="500"/>
      <c r="DV6" s="500"/>
      <c r="DW6" s="500"/>
      <c r="DX6" s="500"/>
      <c r="DY6" s="500"/>
      <c r="DZ6" s="500"/>
      <c r="EA6" s="500"/>
      <c r="EB6" s="500"/>
      <c r="EC6" s="500"/>
      <c r="ED6" s="500"/>
      <c r="EE6" s="500"/>
      <c r="EG6" s="500"/>
      <c r="EH6" s="500"/>
      <c r="EI6" s="500"/>
      <c r="EJ6" s="500"/>
      <c r="EK6" s="500"/>
      <c r="EL6" s="500"/>
      <c r="EM6" s="500"/>
      <c r="EN6" s="500"/>
      <c r="EO6" s="500"/>
      <c r="EP6" s="500"/>
      <c r="EQ6" s="500"/>
      <c r="ER6" s="500"/>
      <c r="EX6" s="2"/>
      <c r="EY6" s="2"/>
      <c r="EZ6" s="2"/>
      <c r="FA6" s="2"/>
      <c r="FB6" s="2"/>
      <c r="FC6" s="2"/>
      <c r="FD6" s="2"/>
      <c r="FE6" s="2"/>
    </row>
    <row r="7" spans="1:161" ht="21" customHeight="1" thickBot="1">
      <c r="A7" s="518"/>
      <c r="B7" s="550" t="s">
        <v>2026</v>
      </c>
      <c r="C7" s="551"/>
      <c r="D7" s="551"/>
      <c r="E7" s="551"/>
      <c r="F7" s="551"/>
      <c r="G7" s="552"/>
      <c r="H7" s="531">
        <f>IF('LT01'!$I$6="","",'LT01'!$I$6)</f>
        <v>3</v>
      </c>
      <c r="I7" s="532"/>
      <c r="J7" s="532"/>
      <c r="K7" s="533"/>
      <c r="L7" s="531">
        <f>IF('LT02'!$I$6="","",'LT02'!$I$6)</f>
        <v>2</v>
      </c>
      <c r="M7" s="532"/>
      <c r="N7" s="532"/>
      <c r="O7" s="533"/>
      <c r="P7" s="531">
        <f>'LT03'!$I$6</f>
        <v>2</v>
      </c>
      <c r="Q7" s="532"/>
      <c r="R7" s="532"/>
      <c r="S7" s="533"/>
      <c r="T7" s="531">
        <f>'LT04'!$I$6</f>
        <v>2</v>
      </c>
      <c r="U7" s="532"/>
      <c r="V7" s="532"/>
      <c r="W7" s="533"/>
      <c r="X7" s="531">
        <f>'LT05'!$I$6</f>
        <v>3</v>
      </c>
      <c r="Y7" s="532"/>
      <c r="Z7" s="532"/>
      <c r="AA7" s="533"/>
      <c r="AB7" s="531" t="str">
        <f>'LT06'!$I$6</f>
        <v/>
      </c>
      <c r="AC7" s="532"/>
      <c r="AD7" s="532"/>
      <c r="AE7" s="533"/>
      <c r="AF7" s="531" t="str">
        <f>'LT07'!$I$6</f>
        <v/>
      </c>
      <c r="AG7" s="532"/>
      <c r="AH7" s="532"/>
      <c r="AI7" s="533"/>
      <c r="AJ7" s="566" t="str">
        <f>'DO AN'!$J$6</f>
        <v/>
      </c>
      <c r="AK7" s="567"/>
      <c r="AL7" s="567"/>
      <c r="AM7" s="568"/>
      <c r="AN7" s="566" t="str">
        <f>'DO AN 2'!$J$6</f>
        <v/>
      </c>
      <c r="AO7" s="567"/>
      <c r="AP7" s="567"/>
      <c r="AQ7" s="568"/>
      <c r="AR7" s="531">
        <f>'TH01'!$J$6</f>
        <v>2</v>
      </c>
      <c r="AS7" s="532"/>
      <c r="AT7" s="532"/>
      <c r="AU7" s="533"/>
      <c r="AV7" s="531">
        <f>'TH02'!J6</f>
        <v>2</v>
      </c>
      <c r="AW7" s="532"/>
      <c r="AX7" s="532"/>
      <c r="AY7" s="533"/>
      <c r="AZ7" s="531">
        <f>'TH03'!J6</f>
        <v>2</v>
      </c>
      <c r="BA7" s="532"/>
      <c r="BB7" s="532"/>
      <c r="BC7" s="533"/>
      <c r="BD7" s="561">
        <f>SUM(H7:BC7)</f>
        <v>18</v>
      </c>
      <c r="BE7" s="562"/>
      <c r="BF7" s="588"/>
      <c r="BG7" s="628"/>
      <c r="BH7" s="629"/>
      <c r="BI7" s="521"/>
      <c r="BJ7" s="559"/>
      <c r="BK7" s="559"/>
      <c r="BL7" s="559"/>
      <c r="BM7" s="559"/>
      <c r="BN7" s="559"/>
      <c r="BO7" s="559"/>
      <c r="BP7" s="559"/>
      <c r="BQ7" s="559"/>
      <c r="BR7" s="559"/>
      <c r="BS7" s="521"/>
      <c r="BT7" s="623" t="s">
        <v>1204</v>
      </c>
      <c r="BU7" s="614" t="s">
        <v>1153</v>
      </c>
      <c r="BV7" s="615"/>
      <c r="BW7" s="615"/>
      <c r="BX7" s="615"/>
      <c r="BY7" s="615"/>
      <c r="BZ7" s="615"/>
      <c r="CA7" s="615"/>
      <c r="CB7" s="615"/>
      <c r="CC7" s="615"/>
      <c r="CD7" s="615"/>
      <c r="CE7" s="615"/>
      <c r="CF7" s="616"/>
      <c r="CG7" s="630" t="s">
        <v>1206</v>
      </c>
      <c r="CH7" s="230">
        <f>$H$7</f>
        <v>3</v>
      </c>
      <c r="CI7" s="230">
        <f>$L$7</f>
        <v>2</v>
      </c>
      <c r="CJ7" s="230">
        <f>$P$7</f>
        <v>2</v>
      </c>
      <c r="CK7" s="230">
        <f>$T$7</f>
        <v>2</v>
      </c>
      <c r="CL7" s="230">
        <f>$X$7</f>
        <v>3</v>
      </c>
      <c r="CM7" s="230" t="str">
        <f>$AB$7</f>
        <v/>
      </c>
      <c r="CN7" s="230" t="str">
        <f>$AF$7</f>
        <v/>
      </c>
      <c r="CO7" s="230" t="str">
        <f>$AJ$7</f>
        <v/>
      </c>
      <c r="CP7" s="230" t="str">
        <f>$AN$7</f>
        <v/>
      </c>
      <c r="CQ7" s="230">
        <f>$AR$7</f>
        <v>2</v>
      </c>
      <c r="CR7" s="230">
        <f>$AV$7</f>
        <v>2</v>
      </c>
      <c r="CS7" s="230">
        <f>$AZ$7</f>
        <v>2</v>
      </c>
      <c r="CT7" s="231"/>
      <c r="CU7" s="230">
        <f>$H$7</f>
        <v>3</v>
      </c>
      <c r="CV7" s="230">
        <f>$L$7</f>
        <v>2</v>
      </c>
      <c r="CW7" s="230">
        <f>$P$7</f>
        <v>2</v>
      </c>
      <c r="CX7" s="230">
        <f>$T$7</f>
        <v>2</v>
      </c>
      <c r="CY7" s="230">
        <f>$X$7</f>
        <v>3</v>
      </c>
      <c r="CZ7" s="230" t="str">
        <f>$AB$7</f>
        <v/>
      </c>
      <c r="DA7" s="230" t="str">
        <f>$AF$7</f>
        <v/>
      </c>
      <c r="DB7" s="230" t="str">
        <f>$AJ$7</f>
        <v/>
      </c>
      <c r="DC7" s="230" t="str">
        <f>$AN$7</f>
        <v/>
      </c>
      <c r="DD7" s="230">
        <f>$AR$7</f>
        <v>2</v>
      </c>
      <c r="DE7" s="230">
        <f>$AV$7</f>
        <v>2</v>
      </c>
      <c r="DF7" s="230">
        <f>$AZ$7</f>
        <v>2</v>
      </c>
      <c r="DG7" s="232"/>
      <c r="DH7" s="233"/>
      <c r="DI7" s="233"/>
      <c r="DJ7" s="233"/>
      <c r="DK7" s="233"/>
      <c r="DL7" s="233"/>
      <c r="DM7" s="233"/>
      <c r="DN7" s="233"/>
      <c r="DO7" s="233"/>
      <c r="DP7" s="233"/>
      <c r="DQ7" s="233"/>
      <c r="DR7" s="233"/>
      <c r="DS7" s="251"/>
      <c r="DT7" s="248">
        <f>$H$7</f>
        <v>3</v>
      </c>
      <c r="DU7" s="230">
        <f>$L$7</f>
        <v>2</v>
      </c>
      <c r="DV7" s="230">
        <f>$P$7</f>
        <v>2</v>
      </c>
      <c r="DW7" s="230">
        <f>$T$7</f>
        <v>2</v>
      </c>
      <c r="DX7" s="230">
        <f>$X$7</f>
        <v>3</v>
      </c>
      <c r="DY7" s="230" t="str">
        <f>$AB$7</f>
        <v/>
      </c>
      <c r="DZ7" s="230" t="str">
        <f>$AF$7</f>
        <v/>
      </c>
      <c r="EA7" s="230" t="str">
        <f>$AJ$7</f>
        <v/>
      </c>
      <c r="EB7" s="230" t="str">
        <f>$AN$7</f>
        <v/>
      </c>
      <c r="EC7" s="230">
        <f>$AR$7</f>
        <v>2</v>
      </c>
      <c r="ED7" s="230">
        <f>$AV$7</f>
        <v>2</v>
      </c>
      <c r="EE7" s="230">
        <f>$AZ$7</f>
        <v>2</v>
      </c>
      <c r="EF7" s="254"/>
      <c r="EG7" s="230">
        <f>$H$7</f>
        <v>3</v>
      </c>
      <c r="EH7" s="230">
        <f>$L$7</f>
        <v>2</v>
      </c>
      <c r="EI7" s="230">
        <f>$P$7</f>
        <v>2</v>
      </c>
      <c r="EJ7" s="230">
        <f>$T$7</f>
        <v>2</v>
      </c>
      <c r="EK7" s="230">
        <f>$X$7</f>
        <v>3</v>
      </c>
      <c r="EL7" s="230" t="str">
        <f>$AB$7</f>
        <v/>
      </c>
      <c r="EM7" s="230" t="str">
        <f>$AF$7</f>
        <v/>
      </c>
      <c r="EN7" s="230" t="str">
        <f>$AJ$7</f>
        <v/>
      </c>
      <c r="EO7" s="230" t="str">
        <f>$AN$7</f>
        <v/>
      </c>
      <c r="EP7" s="230">
        <f>$AR$7</f>
        <v>2</v>
      </c>
      <c r="EQ7" s="230">
        <f>$AV$7</f>
        <v>2</v>
      </c>
      <c r="ER7" s="230">
        <f>$AZ$7</f>
        <v>2</v>
      </c>
      <c r="ES7" s="260"/>
      <c r="ET7" s="234"/>
      <c r="EX7" s="2"/>
      <c r="EY7" s="2"/>
      <c r="EZ7" s="2"/>
      <c r="FA7" s="2"/>
      <c r="FB7" s="2"/>
      <c r="FC7" s="2"/>
      <c r="FD7" s="2"/>
      <c r="FE7" s="2"/>
    </row>
    <row r="8" spans="1:161" ht="74.25" customHeight="1" thickBot="1">
      <c r="A8" s="518"/>
      <c r="B8" s="578" t="s">
        <v>188</v>
      </c>
      <c r="C8" s="540" t="s">
        <v>189</v>
      </c>
      <c r="D8" s="541"/>
      <c r="E8" s="538" t="s">
        <v>240</v>
      </c>
      <c r="F8" s="536" t="s">
        <v>241</v>
      </c>
      <c r="G8" s="537"/>
      <c r="H8" s="544" t="s">
        <v>181</v>
      </c>
      <c r="I8" s="546" t="s">
        <v>186</v>
      </c>
      <c r="J8" s="546" t="s">
        <v>183</v>
      </c>
      <c r="K8" s="548" t="s">
        <v>185</v>
      </c>
      <c r="L8" s="553" t="s">
        <v>181</v>
      </c>
      <c r="M8" s="546" t="s">
        <v>186</v>
      </c>
      <c r="N8" s="546" t="s">
        <v>183</v>
      </c>
      <c r="O8" s="548" t="s">
        <v>185</v>
      </c>
      <c r="P8" s="553" t="s">
        <v>181</v>
      </c>
      <c r="Q8" s="546" t="s">
        <v>186</v>
      </c>
      <c r="R8" s="546" t="s">
        <v>183</v>
      </c>
      <c r="S8" s="548" t="s">
        <v>185</v>
      </c>
      <c r="T8" s="553" t="s">
        <v>181</v>
      </c>
      <c r="U8" s="546" t="s">
        <v>186</v>
      </c>
      <c r="V8" s="546" t="s">
        <v>183</v>
      </c>
      <c r="W8" s="548" t="s">
        <v>185</v>
      </c>
      <c r="X8" s="553" t="s">
        <v>181</v>
      </c>
      <c r="Y8" s="546" t="s">
        <v>186</v>
      </c>
      <c r="Z8" s="546" t="s">
        <v>183</v>
      </c>
      <c r="AA8" s="548" t="s">
        <v>185</v>
      </c>
      <c r="AB8" s="553" t="s">
        <v>181</v>
      </c>
      <c r="AC8" s="546" t="s">
        <v>186</v>
      </c>
      <c r="AD8" s="546" t="s">
        <v>183</v>
      </c>
      <c r="AE8" s="548" t="s">
        <v>185</v>
      </c>
      <c r="AF8" s="553" t="s">
        <v>181</v>
      </c>
      <c r="AG8" s="546" t="s">
        <v>186</v>
      </c>
      <c r="AH8" s="546" t="s">
        <v>183</v>
      </c>
      <c r="AI8" s="548" t="s">
        <v>185</v>
      </c>
      <c r="AJ8" s="553" t="s">
        <v>181</v>
      </c>
      <c r="AK8" s="546" t="s">
        <v>186</v>
      </c>
      <c r="AL8" s="546" t="s">
        <v>183</v>
      </c>
      <c r="AM8" s="548" t="s">
        <v>185</v>
      </c>
      <c r="AN8" s="544" t="s">
        <v>181</v>
      </c>
      <c r="AO8" s="569" t="s">
        <v>186</v>
      </c>
      <c r="AP8" s="569" t="s">
        <v>183</v>
      </c>
      <c r="AQ8" s="571" t="s">
        <v>185</v>
      </c>
      <c r="AR8" s="553" t="s">
        <v>181</v>
      </c>
      <c r="AS8" s="546" t="s">
        <v>186</v>
      </c>
      <c r="AT8" s="546" t="s">
        <v>183</v>
      </c>
      <c r="AU8" s="548" t="s">
        <v>185</v>
      </c>
      <c r="AV8" s="553" t="s">
        <v>181</v>
      </c>
      <c r="AW8" s="546" t="s">
        <v>186</v>
      </c>
      <c r="AX8" s="546" t="s">
        <v>183</v>
      </c>
      <c r="AY8" s="548" t="s">
        <v>185</v>
      </c>
      <c r="AZ8" s="553" t="s">
        <v>181</v>
      </c>
      <c r="BA8" s="546" t="s">
        <v>186</v>
      </c>
      <c r="BB8" s="546" t="s">
        <v>183</v>
      </c>
      <c r="BC8" s="548" t="s">
        <v>185</v>
      </c>
      <c r="BD8" s="563" t="s">
        <v>182</v>
      </c>
      <c r="BE8" s="563" t="s">
        <v>184</v>
      </c>
      <c r="BF8" s="588"/>
      <c r="BG8" s="563" t="s">
        <v>182</v>
      </c>
      <c r="BH8" s="563" t="s">
        <v>184</v>
      </c>
      <c r="BI8" s="521"/>
      <c r="BJ8" s="559"/>
      <c r="BK8" s="559"/>
      <c r="BL8" s="559"/>
      <c r="BM8" s="559"/>
      <c r="BN8" s="559"/>
      <c r="BO8" s="559"/>
      <c r="BP8" s="559"/>
      <c r="BQ8" s="559"/>
      <c r="BR8" s="559"/>
      <c r="BS8" s="521"/>
      <c r="BT8" s="623"/>
      <c r="BU8" s="617"/>
      <c r="BV8" s="618"/>
      <c r="BW8" s="618"/>
      <c r="BX8" s="618"/>
      <c r="BY8" s="618"/>
      <c r="BZ8" s="618"/>
      <c r="CA8" s="618"/>
      <c r="CB8" s="618"/>
      <c r="CC8" s="618"/>
      <c r="CD8" s="618"/>
      <c r="CE8" s="618"/>
      <c r="CF8" s="619"/>
      <c r="CG8" s="630"/>
      <c r="CH8" s="590" t="s">
        <v>461</v>
      </c>
      <c r="CI8" s="591"/>
      <c r="CJ8" s="591"/>
      <c r="CK8" s="591"/>
      <c r="CL8" s="591"/>
      <c r="CM8" s="591"/>
      <c r="CN8" s="591"/>
      <c r="CO8" s="591"/>
      <c r="CP8" s="591"/>
      <c r="CQ8" s="591"/>
      <c r="CR8" s="591"/>
      <c r="CS8" s="592"/>
      <c r="CT8" s="243"/>
      <c r="CU8" s="608" t="s">
        <v>1396</v>
      </c>
      <c r="CV8" s="609"/>
      <c r="CW8" s="609"/>
      <c r="CX8" s="609"/>
      <c r="CY8" s="609"/>
      <c r="CZ8" s="609"/>
      <c r="DA8" s="609"/>
      <c r="DB8" s="609"/>
      <c r="DC8" s="609"/>
      <c r="DD8" s="609"/>
      <c r="DE8" s="609"/>
      <c r="DF8" s="610"/>
      <c r="DG8" s="245"/>
      <c r="DH8" s="602" t="s">
        <v>1397</v>
      </c>
      <c r="DI8" s="603"/>
      <c r="DJ8" s="603"/>
      <c r="DK8" s="603"/>
      <c r="DL8" s="603"/>
      <c r="DM8" s="603"/>
      <c r="DN8" s="603"/>
      <c r="DO8" s="603"/>
      <c r="DP8" s="603"/>
      <c r="DQ8" s="603"/>
      <c r="DR8" s="603"/>
      <c r="DS8" s="604"/>
      <c r="DT8" s="581" t="s">
        <v>1398</v>
      </c>
      <c r="DU8" s="582"/>
      <c r="DV8" s="582"/>
      <c r="DW8" s="582"/>
      <c r="DX8" s="582"/>
      <c r="DY8" s="582"/>
      <c r="DZ8" s="582"/>
      <c r="EA8" s="582"/>
      <c r="EB8" s="582"/>
      <c r="EC8" s="582"/>
      <c r="ED8" s="582"/>
      <c r="EE8" s="583"/>
      <c r="EF8" s="256"/>
      <c r="EG8" s="596" t="s">
        <v>1399</v>
      </c>
      <c r="EH8" s="597"/>
      <c r="EI8" s="597"/>
      <c r="EJ8" s="597"/>
      <c r="EK8" s="597"/>
      <c r="EL8" s="597"/>
      <c r="EM8" s="597"/>
      <c r="EN8" s="597"/>
      <c r="EO8" s="597"/>
      <c r="EP8" s="597"/>
      <c r="EQ8" s="597"/>
      <c r="ER8" s="598"/>
      <c r="ES8" s="263"/>
      <c r="ET8" s="234"/>
      <c r="EX8" s="2"/>
      <c r="EY8" s="2"/>
      <c r="EZ8" s="2"/>
      <c r="FA8" s="2"/>
      <c r="FB8" s="2"/>
      <c r="FC8" s="2"/>
      <c r="FD8" s="2"/>
      <c r="FE8" s="2"/>
    </row>
    <row r="9" spans="1:161" ht="14.25" customHeight="1" thickBot="1">
      <c r="A9" s="519"/>
      <c r="B9" s="579"/>
      <c r="C9" s="542"/>
      <c r="D9" s="543"/>
      <c r="E9" s="539"/>
      <c r="F9" s="47" t="s">
        <v>242</v>
      </c>
      <c r="G9" s="48" t="s">
        <v>243</v>
      </c>
      <c r="H9" s="545"/>
      <c r="I9" s="547"/>
      <c r="J9" s="547"/>
      <c r="K9" s="549"/>
      <c r="L9" s="554"/>
      <c r="M9" s="547"/>
      <c r="N9" s="547"/>
      <c r="O9" s="549"/>
      <c r="P9" s="554"/>
      <c r="Q9" s="547"/>
      <c r="R9" s="547"/>
      <c r="S9" s="549"/>
      <c r="T9" s="554"/>
      <c r="U9" s="547"/>
      <c r="V9" s="547"/>
      <c r="W9" s="549"/>
      <c r="X9" s="554"/>
      <c r="Y9" s="547"/>
      <c r="Z9" s="547"/>
      <c r="AA9" s="549"/>
      <c r="AB9" s="554"/>
      <c r="AC9" s="547"/>
      <c r="AD9" s="547"/>
      <c r="AE9" s="549"/>
      <c r="AF9" s="554"/>
      <c r="AG9" s="547"/>
      <c r="AH9" s="547"/>
      <c r="AI9" s="549"/>
      <c r="AJ9" s="554"/>
      <c r="AK9" s="547"/>
      <c r="AL9" s="547"/>
      <c r="AM9" s="549"/>
      <c r="AN9" s="545"/>
      <c r="AO9" s="570"/>
      <c r="AP9" s="570"/>
      <c r="AQ9" s="572"/>
      <c r="AR9" s="554"/>
      <c r="AS9" s="547"/>
      <c r="AT9" s="547"/>
      <c r="AU9" s="549"/>
      <c r="AV9" s="554"/>
      <c r="AW9" s="547"/>
      <c r="AX9" s="547"/>
      <c r="AY9" s="549"/>
      <c r="AZ9" s="554"/>
      <c r="BA9" s="547"/>
      <c r="BB9" s="547"/>
      <c r="BC9" s="549"/>
      <c r="BD9" s="564"/>
      <c r="BE9" s="564"/>
      <c r="BF9" s="589"/>
      <c r="BG9" s="564"/>
      <c r="BH9" s="564"/>
      <c r="BI9" s="625"/>
      <c r="BJ9" s="560"/>
      <c r="BK9" s="560"/>
      <c r="BL9" s="560"/>
      <c r="BM9" s="560"/>
      <c r="BN9" s="560"/>
      <c r="BO9" s="560"/>
      <c r="BP9" s="560"/>
      <c r="BQ9" s="560"/>
      <c r="BR9" s="560"/>
      <c r="BS9" s="521"/>
      <c r="BT9" s="624"/>
      <c r="BU9" s="620"/>
      <c r="BV9" s="621"/>
      <c r="BW9" s="621"/>
      <c r="BX9" s="621"/>
      <c r="BY9" s="621"/>
      <c r="BZ9" s="621"/>
      <c r="CA9" s="621"/>
      <c r="CB9" s="621"/>
      <c r="CC9" s="621"/>
      <c r="CD9" s="621"/>
      <c r="CE9" s="621"/>
      <c r="CF9" s="622"/>
      <c r="CG9" s="623"/>
      <c r="CH9" s="593"/>
      <c r="CI9" s="594"/>
      <c r="CJ9" s="594"/>
      <c r="CK9" s="594"/>
      <c r="CL9" s="594"/>
      <c r="CM9" s="594"/>
      <c r="CN9" s="594"/>
      <c r="CO9" s="594"/>
      <c r="CP9" s="594"/>
      <c r="CQ9" s="594"/>
      <c r="CR9" s="594"/>
      <c r="CS9" s="595"/>
      <c r="CT9" s="244"/>
      <c r="CU9" s="611"/>
      <c r="CV9" s="612"/>
      <c r="CW9" s="612"/>
      <c r="CX9" s="612"/>
      <c r="CY9" s="612"/>
      <c r="CZ9" s="612"/>
      <c r="DA9" s="612"/>
      <c r="DB9" s="612"/>
      <c r="DC9" s="612"/>
      <c r="DD9" s="612"/>
      <c r="DE9" s="612"/>
      <c r="DF9" s="613"/>
      <c r="DG9" s="246"/>
      <c r="DH9" s="605"/>
      <c r="DI9" s="606"/>
      <c r="DJ9" s="606"/>
      <c r="DK9" s="606"/>
      <c r="DL9" s="606"/>
      <c r="DM9" s="606"/>
      <c r="DN9" s="606"/>
      <c r="DO9" s="606"/>
      <c r="DP9" s="606"/>
      <c r="DQ9" s="606"/>
      <c r="DR9" s="606"/>
      <c r="DS9" s="607"/>
      <c r="DT9" s="584"/>
      <c r="DU9" s="585"/>
      <c r="DV9" s="585"/>
      <c r="DW9" s="585"/>
      <c r="DX9" s="585"/>
      <c r="DY9" s="585"/>
      <c r="DZ9" s="585"/>
      <c r="EA9" s="585"/>
      <c r="EB9" s="585"/>
      <c r="EC9" s="585"/>
      <c r="ED9" s="585"/>
      <c r="EE9" s="586"/>
      <c r="EF9" s="258"/>
      <c r="EG9" s="599"/>
      <c r="EH9" s="600"/>
      <c r="EI9" s="600"/>
      <c r="EJ9" s="600"/>
      <c r="EK9" s="600"/>
      <c r="EL9" s="600"/>
      <c r="EM9" s="600"/>
      <c r="EN9" s="600"/>
      <c r="EO9" s="600"/>
      <c r="EP9" s="600"/>
      <c r="EQ9" s="600"/>
      <c r="ER9" s="601"/>
      <c r="ES9" s="264"/>
      <c r="ET9" s="234"/>
      <c r="EX9" s="2"/>
      <c r="EY9" s="2"/>
      <c r="EZ9" s="2"/>
      <c r="FA9" s="2"/>
      <c r="FB9" s="2"/>
      <c r="FC9" s="2"/>
      <c r="FD9" s="2"/>
      <c r="FE9" s="2"/>
    </row>
    <row r="10" spans="1:161" s="52" customFormat="1" ht="16.5" thickBot="1">
      <c r="A10" s="277" t="s">
        <v>301</v>
      </c>
      <c r="B10" s="314" t="s">
        <v>302</v>
      </c>
      <c r="C10" s="534" t="s">
        <v>303</v>
      </c>
      <c r="D10" s="535"/>
      <c r="E10" s="278" t="s">
        <v>304</v>
      </c>
      <c r="F10" s="279" t="s">
        <v>305</v>
      </c>
      <c r="G10" s="280" t="s">
        <v>306</v>
      </c>
      <c r="H10" s="574" t="s">
        <v>307</v>
      </c>
      <c r="I10" s="574"/>
      <c r="J10" s="574"/>
      <c r="K10" s="575"/>
      <c r="L10" s="534" t="s">
        <v>308</v>
      </c>
      <c r="M10" s="574"/>
      <c r="N10" s="574"/>
      <c r="O10" s="575"/>
      <c r="P10" s="534" t="s">
        <v>309</v>
      </c>
      <c r="Q10" s="557"/>
      <c r="R10" s="557"/>
      <c r="S10" s="535"/>
      <c r="T10" s="534" t="s">
        <v>310</v>
      </c>
      <c r="U10" s="557"/>
      <c r="V10" s="557"/>
      <c r="W10" s="535"/>
      <c r="X10" s="534" t="s">
        <v>311</v>
      </c>
      <c r="Y10" s="557"/>
      <c r="Z10" s="557"/>
      <c r="AA10" s="535"/>
      <c r="AB10" s="534" t="s">
        <v>312</v>
      </c>
      <c r="AC10" s="557"/>
      <c r="AD10" s="557"/>
      <c r="AE10" s="535"/>
      <c r="AF10" s="534" t="s">
        <v>313</v>
      </c>
      <c r="AG10" s="557"/>
      <c r="AH10" s="557"/>
      <c r="AI10" s="535"/>
      <c r="AJ10" s="534" t="s">
        <v>314</v>
      </c>
      <c r="AK10" s="557"/>
      <c r="AL10" s="557"/>
      <c r="AM10" s="535"/>
      <c r="AN10" s="576" t="s">
        <v>315</v>
      </c>
      <c r="AO10" s="577"/>
      <c r="AP10" s="577"/>
      <c r="AQ10" s="516"/>
      <c r="AR10" s="534" t="s">
        <v>316</v>
      </c>
      <c r="AS10" s="557"/>
      <c r="AT10" s="557"/>
      <c r="AU10" s="535"/>
      <c r="AV10" s="534" t="s">
        <v>317</v>
      </c>
      <c r="AW10" s="557"/>
      <c r="AX10" s="557"/>
      <c r="AY10" s="535"/>
      <c r="AZ10" s="534" t="s">
        <v>318</v>
      </c>
      <c r="BA10" s="557"/>
      <c r="BB10" s="557"/>
      <c r="BC10" s="535"/>
      <c r="BD10" s="281" t="s">
        <v>319</v>
      </c>
      <c r="BE10" s="281" t="s">
        <v>320</v>
      </c>
      <c r="BF10" s="266" t="s">
        <v>321</v>
      </c>
      <c r="BG10" s="266" t="s">
        <v>322</v>
      </c>
      <c r="BH10" s="266" t="s">
        <v>170</v>
      </c>
      <c r="BI10" s="266" t="s">
        <v>1132</v>
      </c>
      <c r="BJ10" s="281" t="s">
        <v>1133</v>
      </c>
      <c r="BK10" s="266" t="s">
        <v>1144</v>
      </c>
      <c r="BL10" s="266" t="s">
        <v>1145</v>
      </c>
      <c r="BM10" s="266" t="s">
        <v>1146</v>
      </c>
      <c r="BN10" s="266" t="s">
        <v>1147</v>
      </c>
      <c r="BO10" s="266" t="s">
        <v>1012</v>
      </c>
      <c r="BP10" s="266" t="s">
        <v>1013</v>
      </c>
      <c r="BQ10" s="266" t="s">
        <v>1150</v>
      </c>
      <c r="BR10" s="266" t="s">
        <v>1151</v>
      </c>
      <c r="BS10" s="282" t="s">
        <v>1152</v>
      </c>
      <c r="BT10" s="275"/>
      <c r="BU10" s="235"/>
      <c r="BV10" s="236"/>
      <c r="BW10" s="236"/>
      <c r="BX10" s="236"/>
      <c r="BY10" s="236"/>
      <c r="BZ10" s="236"/>
      <c r="CA10" s="236"/>
      <c r="CB10" s="236"/>
      <c r="CC10" s="236"/>
      <c r="CD10" s="236"/>
      <c r="CE10" s="236"/>
      <c r="CF10" s="236"/>
      <c r="CG10" s="235"/>
      <c r="CH10" s="236"/>
      <c r="CI10" s="236"/>
      <c r="CJ10" s="236"/>
      <c r="CK10" s="236"/>
      <c r="CL10" s="236"/>
      <c r="CM10" s="236"/>
      <c r="CN10" s="236"/>
      <c r="CO10" s="236"/>
      <c r="CP10" s="236"/>
      <c r="CQ10" s="236"/>
      <c r="CR10" s="236"/>
      <c r="CS10" s="236"/>
      <c r="CT10" s="236"/>
      <c r="CU10" s="236"/>
      <c r="CV10" s="236"/>
      <c r="CW10" s="236"/>
      <c r="CX10" s="236"/>
      <c r="CY10" s="236"/>
      <c r="CZ10" s="236"/>
      <c r="DA10" s="236"/>
      <c r="DB10" s="236"/>
      <c r="DC10" s="236"/>
      <c r="DD10" s="236"/>
      <c r="DE10" s="236"/>
      <c r="DF10" s="236"/>
      <c r="DG10" s="247"/>
      <c r="DH10" s="236"/>
      <c r="DI10" s="236"/>
      <c r="DJ10" s="236"/>
      <c r="DK10" s="236"/>
      <c r="DL10" s="236"/>
      <c r="DM10" s="236"/>
      <c r="DN10" s="236"/>
      <c r="DO10" s="236"/>
      <c r="DP10" s="236"/>
      <c r="DQ10" s="236"/>
      <c r="DR10" s="236"/>
      <c r="DS10" s="252"/>
      <c r="DT10" s="249"/>
      <c r="DU10" s="236"/>
      <c r="DV10" s="236"/>
      <c r="DW10" s="236"/>
      <c r="DX10" s="236"/>
      <c r="DY10" s="236"/>
      <c r="DZ10" s="236"/>
      <c r="EA10" s="236"/>
      <c r="EB10" s="236"/>
      <c r="EC10" s="236"/>
      <c r="ED10" s="236"/>
      <c r="EE10" s="236"/>
      <c r="EF10" s="259"/>
      <c r="EG10" s="236"/>
      <c r="EH10" s="236"/>
      <c r="EI10" s="236"/>
      <c r="EJ10" s="236"/>
      <c r="EK10" s="236"/>
      <c r="EL10" s="236"/>
      <c r="EM10" s="236"/>
      <c r="EN10" s="236"/>
      <c r="EO10" s="236"/>
      <c r="EP10" s="236"/>
      <c r="EQ10" s="236"/>
      <c r="ER10" s="236"/>
      <c r="ES10" s="261"/>
      <c r="ET10" s="237"/>
    </row>
    <row r="11" spans="1:161" s="89" customFormat="1" ht="30" customHeight="1">
      <c r="A11" s="283">
        <f>IF($B11="","",SUBTOTAL(3,$B$11:B11))</f>
        <v>1</v>
      </c>
      <c r="B11" s="457" t="s">
        <v>1550</v>
      </c>
      <c r="C11" s="284" t="str">
        <f>IF($B11="","",VLOOKUP($B11,'DS LOP HKI'!$B$2:$D$951,2,0))</f>
        <v>Lương Hoàng Thuận</v>
      </c>
      <c r="D11" s="285" t="str">
        <f>IF($B11="","",VLOOKUP($B11,'DS LOP HKI'!$B$2:$D$951,3,0))</f>
        <v>An</v>
      </c>
      <c r="E11" s="286"/>
      <c r="F11" s="287"/>
      <c r="G11" s="288">
        <v>2</v>
      </c>
      <c r="H11" s="289">
        <f>IF(OR($H$6="",$H$7=""),"",IF($B11="","",IF(ISNA(VLOOKUP($B11,'LT01'!$B$11:$M$80,12,FALSE)),"",IF(VLOOKUP($B11,'LT01'!$B$11:$M$80,12,FALSE)="","",VLOOKUP($B11,'LT01'!$B$11:$M$80,12,FALSE)))))</f>
        <v>7</v>
      </c>
      <c r="I11" s="290">
        <f>IF(OR($H$6="",$H$7=""),"",IF($B11="","",IF(ISNA(VLOOKUP($B11,'LT01'!$B$11:$N$80,13,FALSE)),"",VLOOKUP($B11,'LT01'!$B$11:$N$80,13,FALSE))))</f>
        <v>7.1</v>
      </c>
      <c r="J11" s="291"/>
      <c r="K11" s="292" t="str">
        <f>IF(OR($H$6="",$H$7=""),"",IF($B11="","",IF(ISNA(VLOOKUP($B11,'LT01'!$B$11:$Q$80,16,FALSE)),"",IF(VLOOKUP($B11,'LT01'!$B$11:$Q$80,16,FALSE)="","",VLOOKUP($B11,'LT01'!$B$11:$Q$80,16,FALSE)))))</f>
        <v/>
      </c>
      <c r="L11" s="293">
        <f>IF(OR($L$6="",$L$7=""),"",IF($B11="","",IF(ISNA(VLOOKUP($B11,'LT02'!$B$11:$M$80,12,FALSE)),"",IF(VLOOKUP($B11,'LT02'!$B$11:$M$80,12,FALSE)="","",VLOOKUP($B11,'LT02'!$B$11:$M$80,12,FALSE)))))</f>
        <v>9.3000000000000007</v>
      </c>
      <c r="M11" s="290">
        <f>IF(OR($L$6="",$L$7=""),"",IF($B11="","",IF(ISNA(VLOOKUP($B11,'LT02'!$B$11:$N$80,13,FALSE)),"",VLOOKUP($B11,'LT02'!$B$11:$N$80,13,FALSE))))</f>
        <v>8.5</v>
      </c>
      <c r="N11" s="291"/>
      <c r="O11" s="292" t="str">
        <f>IF(OR($L$6="",$L$7=""),"",IF($B11="","",IF(ISNA(VLOOKUP($B11,'LT02'!$B$11:$Q$80,16,FALSE)),"",VLOOKUP($B11,'LT02'!$B$11:$Q$80,16,FALSE))))</f>
        <v/>
      </c>
      <c r="P11" s="293">
        <f>IF(OR($P$6="",$P$7=""),"",IF($B11="","",IF(ISNA(VLOOKUP($B11,'LT03'!$B$11:$M$80,12,FALSE)),"",IF(VLOOKUP($B11,'LT03'!$B$11:$M$80,12,FALSE)="","",VLOOKUP($B11,'LT03'!$B$11:$M$80,12,FALSE)))))</f>
        <v>4.5</v>
      </c>
      <c r="Q11" s="290">
        <f>IF(OR($P$6="",$P$7=""),"",IF($B11="","",IF(ISNA(VLOOKUP($B11,'LT03'!$B$11:$N$80,13,FALSE)),"",VLOOKUP($B11,'LT03'!$B$11:$N$80,13,FALSE))))</f>
        <v>5.3</v>
      </c>
      <c r="R11" s="291"/>
      <c r="S11" s="292" t="str">
        <f>IF(OR($P$6="",$P$7=""),"",IF($B11="","",IF(ISNA(VLOOKUP($B11,'LT03'!$B$11:$Q$80,16,FALSE)),"",VLOOKUP($B11,'LT03'!$B$11:$Q$80,16,FALSE))))</f>
        <v/>
      </c>
      <c r="T11" s="293">
        <f>IF(OR($T$6="",$T$7=""),"",IF($B11="","",IF(ISNA(VLOOKUP($B11,'LT04'!$B$11:$M$80,12,FALSE)),"",IF(VLOOKUP($B11,'LT04'!$B$11:$M$80,12,FALSE)="","",VLOOKUP($B11,'LT04'!$B$11:$M$80,12,FALSE)))))</f>
        <v>7</v>
      </c>
      <c r="U11" s="290">
        <f>IF(OR($T$6="",$T$7=""),"",IF($B11="","",IF(ISNA(VLOOKUP($B11,'LT04'!$B$11:$N$80,13,FALSE)),"",VLOOKUP($B11,'LT04'!$B$11:$N$80,13,FALSE))))</f>
        <v>7.1</v>
      </c>
      <c r="V11" s="291"/>
      <c r="W11" s="292" t="str">
        <f>IF(OR($T$6="",$T$7=""),"",IF($B11="","",IF(ISNA(VLOOKUP($B11,'LT04'!$B$11:$Q$80,16,FALSE)),"",VLOOKUP($B11,'LT04'!$B$11:$Q$80,16,FALSE))))</f>
        <v/>
      </c>
      <c r="X11" s="293">
        <f>IF(OR($X$6="",$X$7=""),"",IF($B11="","",IF(ISNA(VLOOKUP($B11,'LT05'!$B$11:$M$80,12,FALSE)),"",IF(VLOOKUP($B11,'LT05'!$B$11:$M$80,12,FALSE)="","",VLOOKUP($B11,'LT05'!$B$11:$M$80,12,FALSE)))))</f>
        <v>3.3</v>
      </c>
      <c r="Y11" s="290">
        <f>IF(OR($X$6="",$X$7=""),"",IF($B11="","",IF(ISNA(VLOOKUP($B11,'LT05'!$B$11:$N$80,13,FALSE)),"",VLOOKUP($B11,'LT05'!$B$11:$N$80,13,FALSE))))</f>
        <v>4.2</v>
      </c>
      <c r="Z11" s="291"/>
      <c r="AA11" s="292" t="str">
        <f>IF(OR($X$6="",$X$7=""),"",IF($B11="","",IF(ISNA(VLOOKUP($B11,'LT05'!$B$11:$Q$80,16,FALSE)),"",VLOOKUP($B11,'LT05'!$B$11:$Q$80,16,FALSE))))</f>
        <v/>
      </c>
      <c r="AB11" s="293" t="str">
        <f>IF(OR($AB$6="",$AB$7=""),"",IF($B11="","",IF(ISNA(VLOOKUP($B11,'LT06'!$B$11:$M$80,12,FALSE)),"",IF(VLOOKUP($B11,'LT06'!$B$11:$M$80,12,FALSE)="","",VLOOKUP($B11,'LT06'!$B$11:$M$80,12,FALSE)))))</f>
        <v/>
      </c>
      <c r="AC11" s="290" t="str">
        <f>IF(OR($AB$6="",$AB$7=""),"",IF($B11="","",IF(ISNA(VLOOKUP($B11,'LT06'!$B$11:$N$80,13,FALSE)),"",VLOOKUP($B11,'LT06'!$B$11:$N$80,13,FALSE))))</f>
        <v/>
      </c>
      <c r="AD11" s="291"/>
      <c r="AE11" s="292" t="str">
        <f>IF(OR($AB$6="",$AB$7=""),"",IF($B11="","",IF(ISNA(VLOOKUP($B11,'LT06'!$B$11:$Q$80,16,FALSE)),"",VLOOKUP($B11,'LT06'!$B$11:$Q$80,16,FALSE))))</f>
        <v/>
      </c>
      <c r="AF11" s="293" t="str">
        <f>IF(OR($AF$6="",$AF$7=""),"",IF($B11="","",IF(ISNA(VLOOKUP($B11,'LT07'!$B$11:$M$80,12,FALSE)),"",IF(VLOOKUP($B11,'LT07'!$B$11:$M$80,12,FALSE)="","",VLOOKUP($B11,'LT07'!$B$11:$M$80,12,FALSE)))))</f>
        <v/>
      </c>
      <c r="AG11" s="290" t="str">
        <f>IF(OR($AF$6="",$AF$7=""),"",IF($B11="","",IF(ISNA(VLOOKUP($B11,'LT07'!$B$11:$N$80,13,FALSE)),"",VLOOKUP($B11,'LT07'!$B$11:$N$80,13,FALSE))))</f>
        <v/>
      </c>
      <c r="AH11" s="291"/>
      <c r="AI11" s="292" t="str">
        <f>IF(OR($AF$6="",$AF$7=""),"",IF($B11="","",IF(ISNA(VLOOKUP($B11,'LT07'!$B$11:$Q$80,16,FALSE)),"",VLOOKUP($B11,'LT07'!$B$11:$Q$80,16,FALSE))))</f>
        <v/>
      </c>
      <c r="AJ11" s="302"/>
      <c r="AK11" s="290" t="str">
        <f>IF(OR($AJ$6="",$AJ$7=""),"",IF($B11="","",IF(ISNA(VLOOKUP($B11,'DO AN'!$B$11:$L$80,11,FALSE)),"",IF(VLOOKUP($B11,'DO AN'!$B$11:$L$80,11,FALSE)="","",VLOOKUP($B11,'DO AN'!$B$11:$L$80,11,FALSE)))))</f>
        <v/>
      </c>
      <c r="AL11" s="291"/>
      <c r="AM11" s="450"/>
      <c r="AN11" s="291"/>
      <c r="AO11" s="290" t="str">
        <f>IF(OR($AN$6="",$AN$7=""),"",IF($B11="","",IF(ISNA(VLOOKUP($B11,'DO AN 2'!$B$11:$L$80,11,FALSE)),"",IF(VLOOKUP($B11,'DO AN 2'!$B$11:$L$80,11,FALSE)="","",VLOOKUP($B11,'DO AN 2'!$B$11:$L$80,11,FALSE)))))</f>
        <v/>
      </c>
      <c r="AP11" s="291"/>
      <c r="AQ11" s="291"/>
      <c r="AR11" s="453"/>
      <c r="AS11" s="290">
        <f>IF(OR($AR$6="",$AR$7=""),"",IF($B11="","",IF(ISNA(VLOOKUP($B11,'TH01'!$B$11:$O$80,14,FALSE)),"",VLOOKUP($B11,'TH01'!$B$11:$O$80,14,FALSE))))</f>
        <v>5.6</v>
      </c>
      <c r="AT11" s="291"/>
      <c r="AU11" s="301"/>
      <c r="AV11" s="302"/>
      <c r="AW11" s="290">
        <f>IF(OR($AV$6="",$AV$7=""),"",IF($B11="","",IF(ISNA(VLOOKUP($B11,'TH02'!$B$11:$O$80,14,FALSE)),"",VLOOKUP($B11,'TH02'!$B$11:$O$80,14,FALSE))))</f>
        <v>7.5</v>
      </c>
      <c r="AX11" s="291"/>
      <c r="AY11" s="301"/>
      <c r="AZ11" s="302"/>
      <c r="BA11" s="290">
        <f>IF(OR($AZ$6="",$AZ$7=""),"",IF($B11="","",IF(ISNA(VLOOKUP($B11,'TH03'!$B$11:$O$80,14,FALSE)),"",VLOOKUP($B11,'TH03'!$B$11:$O$80,14,FALSE))))</f>
        <v>6.8</v>
      </c>
      <c r="BB11" s="291"/>
      <c r="BC11" s="301"/>
      <c r="BD11" s="269">
        <f>$CT11</f>
        <v>6.42</v>
      </c>
      <c r="BE11" s="269" t="str">
        <f>$EF11</f>
        <v/>
      </c>
      <c r="BF11" s="294">
        <v>60</v>
      </c>
      <c r="BG11" s="268" t="str">
        <f t="shared" ref="BG11:BG42" si="0">IF($BD11="","",IF($B11="","",IF($BD11&lt;4,"Kém",IF($BD11&lt;5.5,"TB Yếu",IF($BD11&lt;7,"T.Bình",IF($BD11&lt;8,"Khá",IF($BD11&lt;9,"Giỏi","SX")))))))</f>
        <v>T.Bình</v>
      </c>
      <c r="BH11" s="268" t="str">
        <f t="shared" ref="BH11:BH42" si="1">IF($BE11="","",IF($B11="","",IF($BE11&lt;4,"Kém",IF($BE11&lt;5.5,"TB Yếu",IF($BE11&lt;7,"T.Bình",IF($BE11&lt;8,"Khá",IF($BE11&lt;9,"Giỏi","SX")))))))</f>
        <v/>
      </c>
      <c r="BI11" s="294"/>
      <c r="BJ11" s="269" t="str">
        <f t="shared" ref="BJ11:BJ42" si="2">IF($BD11&gt;=4,"",IF(AND($BD11&lt;4,$BE11="",COUNT($DH11:$DS11)=0),"Cảnh Báo",IF($BE11&lt;4,"Cảnh Báo","")))</f>
        <v/>
      </c>
      <c r="BK11" s="267">
        <f t="shared" ref="BK11:BK42" si="3">IF($B11="","",IF(COUNT($CH11:$CS11)=0,"",SUMIF($CH11:$CS11,"&gt;=4",$CH$7:$CS$7)))</f>
        <v>18</v>
      </c>
      <c r="BL11" s="268">
        <f t="shared" ref="BL11:BL42" si="4">IF($B11="","",IF(COUNT($CH11:$CS11=0),"",SUMIF($CH11:$CS11,"&lt;4",$CH$7:$CS$7)))</f>
        <v>0</v>
      </c>
      <c r="BM11" s="268">
        <f t="shared" ref="BM11:BM42" si="5">IF(AND($BE11="",$B11=""),"",SUMIF($DT11:$EE11,"&gt;=4",$DT$7:$EE$7))</f>
        <v>18</v>
      </c>
      <c r="BN11" s="268">
        <f t="shared" ref="BN11:BN42" si="6">IF(AND($BE11="",$B11=""),"",SUMIF($DT11:$EE11,"&lt;4",$DT$7:$EE$7))</f>
        <v>0</v>
      </c>
      <c r="BO11" s="269">
        <f>IF($DG11="","",$DG11)</f>
        <v>6.42</v>
      </c>
      <c r="BP11" s="269" t="str">
        <f t="shared" ref="BP11:BP42" si="7">IF($B11="","",IF($BO11&gt;=5.5,"BT","Yếu"))</f>
        <v>BT</v>
      </c>
      <c r="BQ11" s="269">
        <f>IF($ES11="","",$ES11)</f>
        <v>6.42</v>
      </c>
      <c r="BR11" s="269" t="str">
        <f t="shared" ref="BR11:BR42" si="8">IF($B11="","",IF($BQ11&gt;=5.5,"BT","Yếu"))</f>
        <v>BT</v>
      </c>
      <c r="BS11" s="294"/>
      <c r="BT11" s="276">
        <f>IF(COUNT($BU11:$CF11)=0,"",COUNTIF($BU11:$CF11,"&lt;5"))</f>
        <v>2</v>
      </c>
      <c r="BU11" s="238">
        <f>$H11</f>
        <v>7</v>
      </c>
      <c r="BV11" s="238">
        <f>$L11</f>
        <v>9.3000000000000007</v>
      </c>
      <c r="BW11" s="238">
        <f>$P11</f>
        <v>4.5</v>
      </c>
      <c r="BX11" s="238">
        <f>$T11</f>
        <v>7</v>
      </c>
      <c r="BY11" s="238">
        <f>$X11</f>
        <v>3.3</v>
      </c>
      <c r="BZ11" s="238" t="str">
        <f>$AB11</f>
        <v/>
      </c>
      <c r="CA11" s="238" t="str">
        <f>$AF11</f>
        <v/>
      </c>
      <c r="CB11" s="238" t="str">
        <f>$AK11</f>
        <v/>
      </c>
      <c r="CC11" s="238" t="str">
        <f>$AO11</f>
        <v/>
      </c>
      <c r="CD11" s="238">
        <f>$AS11</f>
        <v>5.6</v>
      </c>
      <c r="CE11" s="238">
        <f>$AW11</f>
        <v>7.5</v>
      </c>
      <c r="CF11" s="238">
        <f>$BA11</f>
        <v>6.8</v>
      </c>
      <c r="CG11" s="239">
        <f>IF(COUNT($CH11:$CS11)=0,"",COUNTIF($CH11:$CS11,"&lt;4"))</f>
        <v>0</v>
      </c>
      <c r="CH11" s="238">
        <f>$I11</f>
        <v>7.1</v>
      </c>
      <c r="CI11" s="238">
        <f>$M11</f>
        <v>8.5</v>
      </c>
      <c r="CJ11" s="238">
        <f>$Q11</f>
        <v>5.3</v>
      </c>
      <c r="CK11" s="238">
        <f>$U11</f>
        <v>7.1</v>
      </c>
      <c r="CL11" s="238">
        <f>$Y11</f>
        <v>4.2</v>
      </c>
      <c r="CM11" s="238" t="str">
        <f>$AC11</f>
        <v/>
      </c>
      <c r="CN11" s="238" t="str">
        <f>$AG11</f>
        <v/>
      </c>
      <c r="CO11" s="238" t="str">
        <f>$AK11</f>
        <v/>
      </c>
      <c r="CP11" s="238" t="str">
        <f>$AO11</f>
        <v/>
      </c>
      <c r="CQ11" s="238">
        <f>$AS11</f>
        <v>5.6</v>
      </c>
      <c r="CR11" s="238">
        <f>$AW11</f>
        <v>7.5</v>
      </c>
      <c r="CS11" s="238">
        <f>$BA11</f>
        <v>6.8</v>
      </c>
      <c r="CT11" s="240">
        <f>IF(COUNT($CH11:$CS11)=0,"",ROUND(SUMPRODUCT($CH11:$CS11,$CH$7:$CS$7)/(SUM($CH$7:$CS$7)-SUMIF($CH11:$CS11,"",$CH$7:$CS$7)),2))</f>
        <v>6.42</v>
      </c>
      <c r="CU11" s="241">
        <f>IF($CH11&lt;4,"",$CH11)</f>
        <v>7.1</v>
      </c>
      <c r="CV11" s="241">
        <f>IF($CI11&lt;4,"",$CI11)</f>
        <v>8.5</v>
      </c>
      <c r="CW11" s="241">
        <f>IF($CJ11&lt;4,"",$CJ11)</f>
        <v>5.3</v>
      </c>
      <c r="CX11" s="241">
        <f>IF($CK11&lt;4,"",$CK11)</f>
        <v>7.1</v>
      </c>
      <c r="CY11" s="241">
        <f>IF($CL11&lt;4,"",$CL11)</f>
        <v>4.2</v>
      </c>
      <c r="CZ11" s="241" t="str">
        <f>IF($CM11&lt;4,"",$CM11)</f>
        <v/>
      </c>
      <c r="DA11" s="241" t="str">
        <f>IF($CN11&lt;4,"",$CN11)</f>
        <v/>
      </c>
      <c r="DB11" s="241" t="str">
        <f>IF($CO11&lt;4,"",$CO11)</f>
        <v/>
      </c>
      <c r="DC11" s="241" t="str">
        <f>IF($CP11&lt;4,"",$CP11)</f>
        <v/>
      </c>
      <c r="DD11" s="241">
        <f>IF($CQ11&lt;4,"",$CQ11)</f>
        <v>5.6</v>
      </c>
      <c r="DE11" s="241">
        <f>IF($CR11&lt;4,"",$CR11)</f>
        <v>7.5</v>
      </c>
      <c r="DF11" s="241">
        <f>IF($CS11&lt;4,"",$CS11)</f>
        <v>6.8</v>
      </c>
      <c r="DG11" s="242">
        <f t="shared" ref="DG11:DG42" si="9">IF($B11="","",IF(COUNT($CU11:$DF11)=0,0,ROUND(SUMPRODUCT($CU11:$DF11,$CU$7:$DF$7)/SUMIF($CU11:$DF11,"&gt;=4",$CU$7:$DF$7),2)))</f>
        <v>6.42</v>
      </c>
      <c r="DH11" s="82" t="str">
        <f>IF($K11="","",$K11)</f>
        <v/>
      </c>
      <c r="DI11" s="82" t="str">
        <f>IF($O11="","",$O11)</f>
        <v/>
      </c>
      <c r="DJ11" s="82" t="str">
        <f>IF($S11="","",$S11)</f>
        <v/>
      </c>
      <c r="DK11" s="82" t="str">
        <f>IF($W11="","",$W11)</f>
        <v/>
      </c>
      <c r="DL11" s="82" t="str">
        <f>IF($AA11="","",$AA11)</f>
        <v/>
      </c>
      <c r="DM11" s="82" t="str">
        <f>IF($AE11="","",$AE11)</f>
        <v/>
      </c>
      <c r="DN11" s="82" t="str">
        <f>IF($AI11="","",$AI11)</f>
        <v/>
      </c>
      <c r="DO11" s="82" t="str">
        <f>IF($AM11="","",$AM11)</f>
        <v/>
      </c>
      <c r="DP11" s="82" t="str">
        <f>IF($AQ11="","",$AQ11)</f>
        <v/>
      </c>
      <c r="DQ11" s="82" t="str">
        <f>IF($AU11="","",$AU11)</f>
        <v/>
      </c>
      <c r="DR11" s="82" t="str">
        <f>IF($AY11="","",$AY11)</f>
        <v/>
      </c>
      <c r="DS11" s="253" t="str">
        <f>IF($BC11="","",$BC11)</f>
        <v/>
      </c>
      <c r="DT11" s="250">
        <f>IF($H11&gt;=$J11,$I11,$K11)</f>
        <v>7.1</v>
      </c>
      <c r="DU11" s="238">
        <f>IF($L11&gt;=$N11,$M11,$O11)</f>
        <v>8.5</v>
      </c>
      <c r="DV11" s="238">
        <f>IF($P11&gt;=$R11,$Q11,$S11)</f>
        <v>5.3</v>
      </c>
      <c r="DW11" s="238">
        <f>IF($T11&gt;=$V11,$U11,$W11)</f>
        <v>7.1</v>
      </c>
      <c r="DX11" s="238">
        <f>IF($X11&gt;=$Z11,$Y11,$AA11)</f>
        <v>4.2</v>
      </c>
      <c r="DY11" s="238" t="str">
        <f>IF($AB11&gt;=$AD11,$AC11,$AE11)</f>
        <v/>
      </c>
      <c r="DZ11" s="238" t="str">
        <f>IF($AF11&gt;=$AH11,$AG11,$AI11)</f>
        <v/>
      </c>
      <c r="EA11" s="238" t="str">
        <f>IF($AJ11&gt;=$AL11,$AK11,$AM11)</f>
        <v/>
      </c>
      <c r="EB11" s="238" t="str">
        <f>IF($AN11&gt;=$AP11,$AO11,$AQ11)</f>
        <v/>
      </c>
      <c r="EC11" s="238">
        <f>IF($AR11&gt;=$AT11,$AS11,$AU11)</f>
        <v>5.6</v>
      </c>
      <c r="ED11" s="238">
        <f>IF($AV11&gt;=$AX11,$AW11,$AY11)</f>
        <v>7.5</v>
      </c>
      <c r="EE11" s="238">
        <f>IF($AZ11&gt;=$BB11,$BA11,$BC11)</f>
        <v>6.8</v>
      </c>
      <c r="EF11" s="255" t="str">
        <f>IF(COUNT($DH11:$DS11)=0,"",ROUND(SUMPRODUCT($DT11:$EE11,$DT$7:$EE$7)/(SUM($DT$7:$EE$7)-SUMIF($DT11:$EE11,"",$DT$7:$EE$7)),2))</f>
        <v/>
      </c>
      <c r="EG11" s="257">
        <f>IF($DT11&lt;4,"",$DT11)</f>
        <v>7.1</v>
      </c>
      <c r="EH11" s="257">
        <f>IF($DU11&lt;4,"",$DU11)</f>
        <v>8.5</v>
      </c>
      <c r="EI11" s="257">
        <f>IF($DV11&lt;4,"",$DV11)</f>
        <v>5.3</v>
      </c>
      <c r="EJ11" s="257">
        <f>IF($DW11&lt;4,"",$DW11)</f>
        <v>7.1</v>
      </c>
      <c r="EK11" s="257">
        <f>IF($DX11&lt;4,"",$DX11)</f>
        <v>4.2</v>
      </c>
      <c r="EL11" s="257" t="str">
        <f>IF($DY11&lt;4,"",$DY11)</f>
        <v/>
      </c>
      <c r="EM11" s="257" t="str">
        <f>IF($DZ11&lt;4,"",$DZ11)</f>
        <v/>
      </c>
      <c r="EN11" s="257" t="str">
        <f>IF($EA11&lt;4,"",$EA11)</f>
        <v/>
      </c>
      <c r="EO11" s="257" t="str">
        <f>IF($EB11&lt;4,"",$EB11)</f>
        <v/>
      </c>
      <c r="EP11" s="257">
        <f>IF($EC11&lt;4,"",$EC11)</f>
        <v>5.6</v>
      </c>
      <c r="EQ11" s="257">
        <f>IF($ED11&lt;4,"",$ED11)</f>
        <v>7.5</v>
      </c>
      <c r="ER11" s="257">
        <f>IF($EE11&lt;4,"",$EE11)</f>
        <v>6.8</v>
      </c>
      <c r="ES11" s="262">
        <f t="shared" ref="ES11:ES42" si="10">IF($B11="","",IF(COUNT($EG11:$ER11)=0,0,ROUND(SUMPRODUCT($EG11:$ER11,$EG$7:$ER$7)/SUMIF($EG11:$ER11,"&gt;=4",$EG$7:$ER$7),2)))</f>
        <v>6.42</v>
      </c>
      <c r="ET11" s="307">
        <f>IF($EF11="",$CT11,$EF11)</f>
        <v>6.42</v>
      </c>
    </row>
    <row r="12" spans="1:161" s="89" customFormat="1" ht="30" customHeight="1">
      <c r="A12" s="272">
        <f>IF($B12="","",SUBTOTAL(3,$B$11:B12))</f>
        <v>2</v>
      </c>
      <c r="B12" s="457" t="s">
        <v>1797</v>
      </c>
      <c r="C12" s="76" t="str">
        <f>IF($B12="","",VLOOKUP($B12,'DS LOP HKI'!$B$2:$D$951,2,0))</f>
        <v>Đặng Thế</v>
      </c>
      <c r="D12" s="77" t="str">
        <f>IF($B12="","",VLOOKUP($B12,'DS LOP HKI'!$B$2:$D$951,3,0))</f>
        <v>Anh</v>
      </c>
      <c r="E12" s="78"/>
      <c r="F12" s="79"/>
      <c r="G12" s="80">
        <v>3</v>
      </c>
      <c r="H12" s="81">
        <f>IF(OR($H$6="",$H$7=""),"",IF($B12="","",IF(ISNA(VLOOKUP($B12,'LT01'!$B$11:$M$80,12,FALSE)),"",IF(VLOOKUP($B12,'LT01'!$B$11:$M$80,12,FALSE)="","",VLOOKUP($B12,'LT01'!$B$11:$M$80,12,FALSE)))))</f>
        <v>8.5</v>
      </c>
      <c r="I12" s="82">
        <f>IF(OR($H$6="",$H$7=""),"",IF($B12="","",IF(ISNA(VLOOKUP($B12,'LT01'!$B$11:$N$80,13,FALSE)),"",VLOOKUP($B12,'LT01'!$B$11:$N$80,13,FALSE))))</f>
        <v>7.4</v>
      </c>
      <c r="J12" s="83"/>
      <c r="K12" s="84" t="str">
        <f>IF(OR($H$6="",$H$7=""),"",IF($B12="","",IF(ISNA(VLOOKUP($B12,'LT01'!$B$11:$Q$80,16,FALSE)),"",IF(VLOOKUP($B12,'LT01'!$B$11:$Q$80,16,FALSE)="","",VLOOKUP($B12,'LT01'!$B$11:$Q$80,16,FALSE)))))</f>
        <v/>
      </c>
      <c r="L12" s="85">
        <f>IF(OR($L$6="",$L$7=""),"",IF($B12="","",IF(ISNA(VLOOKUP($B12,'LT02'!$B$11:$M$80,12,FALSE)),"",IF(VLOOKUP($B12,'LT02'!$B$11:$M$80,12,FALSE)="","",VLOOKUP($B12,'LT02'!$B$11:$M$80,12,FALSE)))))</f>
        <v>7.8</v>
      </c>
      <c r="M12" s="82">
        <f>IF(OR($L$6="",$L$7=""),"",IF($B12="","",IF(ISNA(VLOOKUP($B12,'LT02'!$B$11:$N$80,13,FALSE)),"",VLOOKUP($B12,'LT02'!$B$11:$N$80,13,FALSE))))</f>
        <v>6.5</v>
      </c>
      <c r="N12" s="83"/>
      <c r="O12" s="84" t="str">
        <f>IF(OR($L$6="",$L$7=""),"",IF($B12="","",IF(ISNA(VLOOKUP($B12,'LT02'!$B$11:$Q$80,16,FALSE)),"",VLOOKUP($B12,'LT02'!$B$11:$Q$80,16,FALSE))))</f>
        <v/>
      </c>
      <c r="P12" s="85">
        <f>IF(OR($P$6="",$P$7=""),"",IF($B12="","",IF(ISNA(VLOOKUP($B12,'LT03'!$B$11:$M$80,12,FALSE)),"",IF(VLOOKUP($B12,'LT03'!$B$11:$M$80,12,FALSE)="","",VLOOKUP($B12,'LT03'!$B$11:$M$80,12,FALSE)))))</f>
        <v>5.8</v>
      </c>
      <c r="Q12" s="82">
        <f>IF(OR($P$6="",$P$7=""),"",IF($B12="","",IF(ISNA(VLOOKUP($B12,'LT03'!$B$11:$N$80,13,FALSE)),"",VLOOKUP($B12,'LT03'!$B$11:$N$80,13,FALSE))))</f>
        <v>5.8</v>
      </c>
      <c r="R12" s="83"/>
      <c r="S12" s="84" t="str">
        <f>IF(OR($P$6="",$P$7=""),"",IF($B12="","",IF(ISNA(VLOOKUP($B12,'LT03'!$B$11:$Q$80,16,FALSE)),"",VLOOKUP($B12,'LT03'!$B$11:$Q$80,16,FALSE))))</f>
        <v/>
      </c>
      <c r="T12" s="85">
        <f>IF(OR($T$6="",$T$7=""),"",IF($B12="","",IF(ISNA(VLOOKUP($B12,'LT04'!$B$11:$M$80,12,FALSE)),"",IF(VLOOKUP($B12,'LT04'!$B$11:$M$80,12,FALSE)="","",VLOOKUP($B12,'LT04'!$B$11:$M$80,12,FALSE)))))</f>
        <v>6.5</v>
      </c>
      <c r="U12" s="82">
        <f>IF(OR($T$6="",$T$7=""),"",IF($B12="","",IF(ISNA(VLOOKUP($B12,'LT04'!$B$11:$N$80,13,FALSE)),"",VLOOKUP($B12,'LT04'!$B$11:$N$80,13,FALSE))))</f>
        <v>7</v>
      </c>
      <c r="V12" s="83"/>
      <c r="W12" s="84" t="str">
        <f>IF(OR($T$6="",$T$7=""),"",IF($B12="","",IF(ISNA(VLOOKUP($B12,'LT04'!$B$11:$Q$80,16,FALSE)),"",VLOOKUP($B12,'LT04'!$B$11:$Q$80,16,FALSE))))</f>
        <v/>
      </c>
      <c r="X12" s="85">
        <f>IF(OR($X$6="",$X$7=""),"",IF($B12="","",IF(ISNA(VLOOKUP($B12,'LT05'!$B$11:$M$80,12,FALSE)),"",IF(VLOOKUP($B12,'LT05'!$B$11:$M$80,12,FALSE)="","",VLOOKUP($B12,'LT05'!$B$11:$M$80,12,FALSE)))))</f>
        <v>2</v>
      </c>
      <c r="Y12" s="82">
        <f>IF(OR($X$6="",$X$7=""),"",IF($B12="","",IF(ISNA(VLOOKUP($B12,'LT05'!$B$11:$N$80,13,FALSE)),"",VLOOKUP($B12,'LT05'!$B$11:$N$80,13,FALSE))))</f>
        <v>3</v>
      </c>
      <c r="Z12" s="83"/>
      <c r="AA12" s="84" t="str">
        <f>IF(OR($X$6="",$X$7=""),"",IF($B12="","",IF(ISNA(VLOOKUP($B12,'LT05'!$B$11:$Q$80,16,FALSE)),"",VLOOKUP($B12,'LT05'!$B$11:$Q$80,16,FALSE))))</f>
        <v/>
      </c>
      <c r="AB12" s="85" t="str">
        <f>IF(OR($AB$6="",$AB$7=""),"",IF($B12="","",IF(ISNA(VLOOKUP($B12,'LT06'!$B$11:$M$80,12,FALSE)),"",IF(VLOOKUP($B12,'LT06'!$B$11:$M$80,12,FALSE)="","",VLOOKUP($B12,'LT06'!$B$11:$M$80,12,FALSE)))))</f>
        <v/>
      </c>
      <c r="AC12" s="82" t="str">
        <f>IF(OR($AB$6="",$AB$7=""),"",IF($B12="","",IF(ISNA(VLOOKUP($B12,'LT06'!$B$11:$N$80,13,FALSE)),"",VLOOKUP($B12,'LT06'!$B$11:$N$80,13,FALSE))))</f>
        <v/>
      </c>
      <c r="AD12" s="83"/>
      <c r="AE12" s="84" t="str">
        <f>IF(OR($AB$6="",$AB$7=""),"",IF($B12="","",IF(ISNA(VLOOKUP($B12,'LT06'!$B$11:$Q$80,16,FALSE)),"",VLOOKUP($B12,'LT06'!$B$11:$Q$80,16,FALSE))))</f>
        <v/>
      </c>
      <c r="AF12" s="85" t="str">
        <f>IF(OR($AF$6="",$AF$7=""),"",IF($B12="","",IF(ISNA(VLOOKUP($B12,'LT07'!$B$11:$M$80,12,FALSE)),"",IF(VLOOKUP($B12,'LT07'!$B$11:$M$80,12,FALSE)="","",VLOOKUP($B12,'LT07'!$B$11:$M$80,12,FALSE)))))</f>
        <v/>
      </c>
      <c r="AG12" s="82" t="str">
        <f>IF(OR($AF$6="",$AF$7=""),"",IF($B12="","",IF(ISNA(VLOOKUP($B12,'LT07'!$B$11:$N$80,13,FALSE)),"",VLOOKUP($B12,'LT07'!$B$11:$N$80,13,FALSE))))</f>
        <v/>
      </c>
      <c r="AH12" s="83"/>
      <c r="AI12" s="84" t="str">
        <f>IF(OR($AF$6="",$AF$7=""),"",IF($B12="","",IF(ISNA(VLOOKUP($B12,'LT07'!$B$11:$Q$80,16,FALSE)),"",VLOOKUP($B12,'LT07'!$B$11:$Q$80,16,FALSE))))</f>
        <v/>
      </c>
      <c r="AJ12" s="304"/>
      <c r="AK12" s="82" t="str">
        <f>IF(OR($AJ$6="",$AJ$7=""),"",IF($B12="","",IF(ISNA(VLOOKUP($B12,'DO AN'!$B$11:$L$80,11,FALSE)),"",IF(VLOOKUP($B12,'DO AN'!$B$11:$L$80,11,FALSE)="","",VLOOKUP($B12,'DO AN'!$B$11:$L$80,11,FALSE)))))</f>
        <v/>
      </c>
      <c r="AL12" s="83"/>
      <c r="AM12" s="451"/>
      <c r="AN12" s="83"/>
      <c r="AO12" s="82" t="str">
        <f>IF(OR($AN$6="",$AN$7=""),"",IF($B12="","",IF(ISNA(VLOOKUP($B12,'DO AN 2'!$B$11:$L$80,11,FALSE)),"",IF(VLOOKUP($B12,'DO AN 2'!$B$11:$L$80,11,FALSE)="","",VLOOKUP($B12,'DO AN 2'!$B$11:$L$80,11,FALSE)))))</f>
        <v/>
      </c>
      <c r="AP12" s="83"/>
      <c r="AQ12" s="83"/>
      <c r="AR12" s="454"/>
      <c r="AS12" s="82">
        <f>IF(OR($AR$6="",$AR$7=""),"",IF($B12="","",IF(ISNA(VLOOKUP($B12,'TH01'!$B$11:$O$80,14,FALSE)),"",VLOOKUP($B12,'TH01'!$B$11:$O$80,14,FALSE))))</f>
        <v>5.2</v>
      </c>
      <c r="AT12" s="83"/>
      <c r="AU12" s="303"/>
      <c r="AV12" s="304"/>
      <c r="AW12" s="82">
        <f>IF(OR($AV$6="",$AV$7=""),"",IF($B12="","",IF(ISNA(VLOOKUP($B12,'TH02'!$B$11:$O$80,14,FALSE)),"",VLOOKUP($B12,'TH02'!$B$11:$O$80,14,FALSE))))</f>
        <v>4</v>
      </c>
      <c r="AX12" s="83"/>
      <c r="AY12" s="303"/>
      <c r="AZ12" s="304"/>
      <c r="BA12" s="82">
        <f>IF(OR($AZ$6="",$AZ$7=""),"",IF($B12="","",IF(ISNA(VLOOKUP($B12,'TH03'!$B$11:$O$80,14,FALSE)),"",VLOOKUP($B12,'TH03'!$B$11:$O$80,14,FALSE))))</f>
        <v>6.3</v>
      </c>
      <c r="BB12" s="83"/>
      <c r="BC12" s="303"/>
      <c r="BD12" s="86">
        <f t="shared" ref="BD12:BD75" si="11">$CT12</f>
        <v>5.6</v>
      </c>
      <c r="BE12" s="86" t="str">
        <f t="shared" ref="BE12:BE75" si="12">$EF12</f>
        <v/>
      </c>
      <c r="BF12" s="87">
        <v>58</v>
      </c>
      <c r="BG12" s="88" t="str">
        <f t="shared" si="0"/>
        <v>T.Bình</v>
      </c>
      <c r="BH12" s="88" t="str">
        <f t="shared" si="1"/>
        <v/>
      </c>
      <c r="BI12" s="87"/>
      <c r="BJ12" s="86" t="str">
        <f t="shared" si="2"/>
        <v/>
      </c>
      <c r="BK12" s="265">
        <f t="shared" si="3"/>
        <v>15</v>
      </c>
      <c r="BL12" s="88">
        <f t="shared" si="4"/>
        <v>3</v>
      </c>
      <c r="BM12" s="88">
        <f t="shared" si="5"/>
        <v>15</v>
      </c>
      <c r="BN12" s="88">
        <f t="shared" si="6"/>
        <v>3</v>
      </c>
      <c r="BO12" s="86">
        <f t="shared" ref="BO12:BO75" si="13">IF($DG12="","",$DG12)</f>
        <v>6.12</v>
      </c>
      <c r="BP12" s="86" t="str">
        <f t="shared" si="7"/>
        <v>BT</v>
      </c>
      <c r="BQ12" s="86">
        <f t="shared" ref="BQ12:BQ75" si="14">IF($ES12="","",$ES12)</f>
        <v>6.12</v>
      </c>
      <c r="BR12" s="86" t="str">
        <f t="shared" si="8"/>
        <v>BT</v>
      </c>
      <c r="BS12" s="87"/>
      <c r="BT12" s="276">
        <f t="shared" ref="BT12:BT75" si="15">IF(COUNT($BU12:$CF12)=0,"",COUNTIF($BU12:$CF12,"&lt;5"))</f>
        <v>2</v>
      </c>
      <c r="BU12" s="238">
        <f t="shared" ref="BU12:BU75" si="16">$H12</f>
        <v>8.5</v>
      </c>
      <c r="BV12" s="238">
        <f t="shared" ref="BV12:BV75" si="17">$L12</f>
        <v>7.8</v>
      </c>
      <c r="BW12" s="238">
        <f t="shared" ref="BW12:BW75" si="18">$P12</f>
        <v>5.8</v>
      </c>
      <c r="BX12" s="238">
        <f t="shared" ref="BX12:BX75" si="19">$T12</f>
        <v>6.5</v>
      </c>
      <c r="BY12" s="238">
        <f t="shared" ref="BY12:BY75" si="20">$X12</f>
        <v>2</v>
      </c>
      <c r="BZ12" s="238" t="str">
        <f t="shared" ref="BZ12:BZ75" si="21">$AB12</f>
        <v/>
      </c>
      <c r="CA12" s="238" t="str">
        <f t="shared" ref="CA12:CA75" si="22">$AF12</f>
        <v/>
      </c>
      <c r="CB12" s="238" t="str">
        <f t="shared" ref="CB12:CB75" si="23">$AK12</f>
        <v/>
      </c>
      <c r="CC12" s="238" t="str">
        <f t="shared" ref="CC12:CC75" si="24">$AO12</f>
        <v/>
      </c>
      <c r="CD12" s="238">
        <f t="shared" ref="CD12:CD75" si="25">$AS12</f>
        <v>5.2</v>
      </c>
      <c r="CE12" s="238">
        <f t="shared" ref="CE12:CE75" si="26">$AW12</f>
        <v>4</v>
      </c>
      <c r="CF12" s="238">
        <f t="shared" ref="CF12:CF75" si="27">$BA12</f>
        <v>6.3</v>
      </c>
      <c r="CG12" s="239">
        <f t="shared" ref="CG12:CG75" si="28">IF(COUNT($CH12:$CS12)=0,"",COUNTIF($CH12:$CS12,"&lt;4"))</f>
        <v>1</v>
      </c>
      <c r="CH12" s="238">
        <f t="shared" ref="CH12:CH75" si="29">$I12</f>
        <v>7.4</v>
      </c>
      <c r="CI12" s="238">
        <f t="shared" ref="CI12:CI75" si="30">$M12</f>
        <v>6.5</v>
      </c>
      <c r="CJ12" s="238">
        <f t="shared" ref="CJ12:CJ75" si="31">$Q12</f>
        <v>5.8</v>
      </c>
      <c r="CK12" s="238">
        <f t="shared" ref="CK12:CK75" si="32">$U12</f>
        <v>7</v>
      </c>
      <c r="CL12" s="238">
        <f t="shared" ref="CL12:CL75" si="33">$Y12</f>
        <v>3</v>
      </c>
      <c r="CM12" s="238" t="str">
        <f t="shared" ref="CM12:CM75" si="34">$AC12</f>
        <v/>
      </c>
      <c r="CN12" s="238" t="str">
        <f t="shared" ref="CN12:CN75" si="35">$AG12</f>
        <v/>
      </c>
      <c r="CO12" s="238" t="str">
        <f t="shared" ref="CO12:CO75" si="36">$AK12</f>
        <v/>
      </c>
      <c r="CP12" s="238" t="str">
        <f t="shared" ref="CP12:CP75" si="37">$AO12</f>
        <v/>
      </c>
      <c r="CQ12" s="238">
        <f t="shared" ref="CQ12:CQ75" si="38">$AS12</f>
        <v>5.2</v>
      </c>
      <c r="CR12" s="238">
        <f t="shared" ref="CR12:CR75" si="39">$AW12</f>
        <v>4</v>
      </c>
      <c r="CS12" s="238">
        <f t="shared" ref="CS12:CS75" si="40">$BA12</f>
        <v>6.3</v>
      </c>
      <c r="CT12" s="240">
        <f t="shared" ref="CT12:CT75" si="41">IF(COUNT($CH12:$CS12)=0,"",ROUND(SUMPRODUCT($CH12:$CS12,$CH$7:$CS$7)/(SUM($CH$7:$CS$7)-SUMIF($CH12:$CS12,"",$CH$7:$CS$7)),2))</f>
        <v>5.6</v>
      </c>
      <c r="CU12" s="241">
        <f t="shared" ref="CU12:CU75" si="42">IF($CH12&lt;4,"",$CH12)</f>
        <v>7.4</v>
      </c>
      <c r="CV12" s="241">
        <f t="shared" ref="CV12:CV75" si="43">IF($CI12&lt;4,"",$CI12)</f>
        <v>6.5</v>
      </c>
      <c r="CW12" s="241">
        <f t="shared" ref="CW12:CW75" si="44">IF($CJ12&lt;4,"",$CJ12)</f>
        <v>5.8</v>
      </c>
      <c r="CX12" s="241">
        <f t="shared" ref="CX12:CX75" si="45">IF($CK12&lt;4,"",$CK12)</f>
        <v>7</v>
      </c>
      <c r="CY12" s="241" t="str">
        <f t="shared" ref="CY12:CY75" si="46">IF($CL12&lt;4,"",$CL12)</f>
        <v/>
      </c>
      <c r="CZ12" s="241" t="str">
        <f t="shared" ref="CZ12:CZ75" si="47">IF($CM12&lt;4,"",$CM12)</f>
        <v/>
      </c>
      <c r="DA12" s="241" t="str">
        <f t="shared" ref="DA12:DA75" si="48">IF($CN12&lt;4,"",$CN12)</f>
        <v/>
      </c>
      <c r="DB12" s="241" t="str">
        <f t="shared" ref="DB12:DB75" si="49">IF($CO12&lt;4,"",$CO12)</f>
        <v/>
      </c>
      <c r="DC12" s="241" t="str">
        <f t="shared" ref="DC12:DC75" si="50">IF($CP12&lt;4,"",$CP12)</f>
        <v/>
      </c>
      <c r="DD12" s="241">
        <f t="shared" ref="DD12:DD75" si="51">IF($CQ12&lt;4,"",$CQ12)</f>
        <v>5.2</v>
      </c>
      <c r="DE12" s="241">
        <f t="shared" ref="DE12:DE75" si="52">IF($CR12&lt;4,"",$CR12)</f>
        <v>4</v>
      </c>
      <c r="DF12" s="241">
        <f t="shared" ref="DF12:DF75" si="53">IF($CS12&lt;4,"",$CS12)</f>
        <v>6.3</v>
      </c>
      <c r="DG12" s="242">
        <f t="shared" si="9"/>
        <v>6.12</v>
      </c>
      <c r="DH12" s="82" t="str">
        <f t="shared" ref="DH12:DH75" si="54">IF($K12="","",$K12)</f>
        <v/>
      </c>
      <c r="DI12" s="82" t="str">
        <f t="shared" ref="DI12:DI75" si="55">IF($O12="","",$O12)</f>
        <v/>
      </c>
      <c r="DJ12" s="82" t="str">
        <f t="shared" ref="DJ12:DJ75" si="56">IF($S12="","",$S12)</f>
        <v/>
      </c>
      <c r="DK12" s="82" t="str">
        <f t="shared" ref="DK12:DK75" si="57">IF($W12="","",$W12)</f>
        <v/>
      </c>
      <c r="DL12" s="82" t="str">
        <f t="shared" ref="DL12:DL75" si="58">IF($AA12="","",$AA12)</f>
        <v/>
      </c>
      <c r="DM12" s="82" t="str">
        <f t="shared" ref="DM12:DM75" si="59">IF($AE12="","",$AE12)</f>
        <v/>
      </c>
      <c r="DN12" s="82" t="str">
        <f t="shared" ref="DN12:DN75" si="60">IF($AI12="","",$AI12)</f>
        <v/>
      </c>
      <c r="DO12" s="82" t="str">
        <f t="shared" ref="DO12:DO75" si="61">IF($AM12="","",$AM12)</f>
        <v/>
      </c>
      <c r="DP12" s="82" t="str">
        <f t="shared" ref="DP12:DP75" si="62">IF($AQ12="","",$AQ12)</f>
        <v/>
      </c>
      <c r="DQ12" s="82" t="str">
        <f t="shared" ref="DQ12:DQ75" si="63">IF($AU12="","",$AU12)</f>
        <v/>
      </c>
      <c r="DR12" s="82" t="str">
        <f t="shared" ref="DR12:DR75" si="64">IF($AY12="","",$AY12)</f>
        <v/>
      </c>
      <c r="DS12" s="253" t="str">
        <f t="shared" ref="DS12:DS75" si="65">IF($BC12="","",$BC12)</f>
        <v/>
      </c>
      <c r="DT12" s="250">
        <f t="shared" ref="DT12:DT75" si="66">IF($H12&gt;=$J12,$I12,$K12)</f>
        <v>7.4</v>
      </c>
      <c r="DU12" s="238">
        <f t="shared" ref="DU12:DU75" si="67">IF($L12&gt;=$N12,$M12,$O12)</f>
        <v>6.5</v>
      </c>
      <c r="DV12" s="238">
        <f t="shared" ref="DV12:DV75" si="68">IF($P12&gt;=$R12,$Q12,$S12)</f>
        <v>5.8</v>
      </c>
      <c r="DW12" s="238">
        <f t="shared" ref="DW12:DW75" si="69">IF($T12&gt;=$V12,$U12,$W12)</f>
        <v>7</v>
      </c>
      <c r="DX12" s="238">
        <f t="shared" ref="DX12:DX75" si="70">IF($X12&gt;=$Z12,$Y12,$AA12)</f>
        <v>3</v>
      </c>
      <c r="DY12" s="238" t="str">
        <f t="shared" ref="DY12:DY75" si="71">IF($AB12&gt;=$AD12,$AC12,$AE12)</f>
        <v/>
      </c>
      <c r="DZ12" s="238" t="str">
        <f t="shared" ref="DZ12:DZ75" si="72">IF($AF12&gt;=$AH12,$AG12,$AI12)</f>
        <v/>
      </c>
      <c r="EA12" s="238" t="str">
        <f t="shared" ref="EA12:EA75" si="73">IF($AJ12&gt;=$AL12,$AK12,$AM12)</f>
        <v/>
      </c>
      <c r="EB12" s="238" t="str">
        <f t="shared" ref="EB12:EB75" si="74">IF($AN12&gt;=$AP12,$AO12,$AQ12)</f>
        <v/>
      </c>
      <c r="EC12" s="238">
        <f t="shared" ref="EC12:EC75" si="75">IF($AR12&gt;=$AT12,$AS12,$AU12)</f>
        <v>5.2</v>
      </c>
      <c r="ED12" s="238">
        <f t="shared" ref="ED12:ED75" si="76">IF($AV12&gt;=$AX12,$AW12,$AY12)</f>
        <v>4</v>
      </c>
      <c r="EE12" s="238">
        <f t="shared" ref="EE12:EE75" si="77">IF($AZ12&gt;=$BB12,$BA12,$BC12)</f>
        <v>6.3</v>
      </c>
      <c r="EF12" s="255" t="str">
        <f t="shared" ref="EF12:EF75" si="78">IF(COUNT($DH12:$DS12)=0,"",ROUND(SUMPRODUCT($DT12:$EE12,$DT$7:$EE$7)/(SUM($DT$7:$EE$7)-SUMIF($DT12:$EE12,"",$DT$7:$EE$7)),2))</f>
        <v/>
      </c>
      <c r="EG12" s="257">
        <f t="shared" ref="EG12:EG75" si="79">IF($DT12&lt;4,"",$DT12)</f>
        <v>7.4</v>
      </c>
      <c r="EH12" s="257">
        <f t="shared" ref="EH12:EH75" si="80">IF($DU12&lt;4,"",$DU12)</f>
        <v>6.5</v>
      </c>
      <c r="EI12" s="257">
        <f t="shared" ref="EI12:EI75" si="81">IF($DV12&lt;4,"",$DV12)</f>
        <v>5.8</v>
      </c>
      <c r="EJ12" s="257">
        <f t="shared" ref="EJ12:EJ75" si="82">IF($DW12&lt;4,"",$DW12)</f>
        <v>7</v>
      </c>
      <c r="EK12" s="257" t="str">
        <f t="shared" ref="EK12:EK75" si="83">IF($DX12&lt;4,"",$DX12)</f>
        <v/>
      </c>
      <c r="EL12" s="257" t="str">
        <f t="shared" ref="EL12:EL75" si="84">IF($DY12&lt;4,"",$DY12)</f>
        <v/>
      </c>
      <c r="EM12" s="257" t="str">
        <f t="shared" ref="EM12:EM75" si="85">IF($DZ12&lt;4,"",$DZ12)</f>
        <v/>
      </c>
      <c r="EN12" s="257" t="str">
        <f t="shared" ref="EN12:EN75" si="86">IF($EA12&lt;4,"",$EA12)</f>
        <v/>
      </c>
      <c r="EO12" s="257" t="str">
        <f t="shared" ref="EO12:EO75" si="87">IF($EB12&lt;4,"",$EB12)</f>
        <v/>
      </c>
      <c r="EP12" s="257">
        <f t="shared" ref="EP12:EP75" si="88">IF($EC12&lt;4,"",$EC12)</f>
        <v>5.2</v>
      </c>
      <c r="EQ12" s="257">
        <f t="shared" ref="EQ12:EQ75" si="89">IF($ED12&lt;4,"",$ED12)</f>
        <v>4</v>
      </c>
      <c r="ER12" s="257">
        <f t="shared" ref="ER12:ER75" si="90">IF($EE12&lt;4,"",$EE12)</f>
        <v>6.3</v>
      </c>
      <c r="ES12" s="262">
        <f t="shared" si="10"/>
        <v>6.12</v>
      </c>
      <c r="ET12" s="307">
        <f t="shared" ref="ET12:ET75" si="91">IF($EF12="",$CT12,$EF12)</f>
        <v>5.6</v>
      </c>
    </row>
    <row r="13" spans="1:161" s="89" customFormat="1" ht="30" customHeight="1">
      <c r="A13" s="272">
        <f>IF($B13="","",SUBTOTAL(3,$B$11:B13))</f>
        <v>3</v>
      </c>
      <c r="B13" s="457" t="s">
        <v>1798</v>
      </c>
      <c r="C13" s="76" t="str">
        <f>IF($B13="","",VLOOKUP($B13,'DS LOP HKI'!$B$2:$D$951,2,0))</f>
        <v>Đỗ Huỳnh</v>
      </c>
      <c r="D13" s="77" t="str">
        <f>IF($B13="","",VLOOKUP($B13,'DS LOP HKI'!$B$2:$D$951,3,0))</f>
        <v>Bảo</v>
      </c>
      <c r="E13" s="78"/>
      <c r="F13" s="79"/>
      <c r="G13" s="80"/>
      <c r="H13" s="81">
        <f>IF(OR($H$6="",$H$7=""),"",IF($B13="","",IF(ISNA(VLOOKUP($B13,'LT01'!$B$11:$M$80,12,FALSE)),"",IF(VLOOKUP($B13,'LT01'!$B$11:$M$80,12,FALSE)="","",VLOOKUP($B13,'LT01'!$B$11:$M$80,12,FALSE)))))</f>
        <v>9</v>
      </c>
      <c r="I13" s="82">
        <f>IF(OR($H$6="",$H$7=""),"",IF($B13="","",IF(ISNA(VLOOKUP($B13,'LT01'!$B$11:$N$80,13,FALSE)),"",VLOOKUP($B13,'LT01'!$B$11:$N$80,13,FALSE))))</f>
        <v>7.7</v>
      </c>
      <c r="J13" s="83"/>
      <c r="K13" s="84" t="str">
        <f>IF(OR($H$6="",$H$7=""),"",IF($B13="","",IF(ISNA(VLOOKUP($B13,'LT01'!$B$11:$Q$80,16,FALSE)),"",IF(VLOOKUP($B13,'LT01'!$B$11:$Q$80,16,FALSE)="","",VLOOKUP($B13,'LT01'!$B$11:$Q$80,16,FALSE)))))</f>
        <v/>
      </c>
      <c r="L13" s="85">
        <f>IF(OR($L$6="",$L$7=""),"",IF($B13="","",IF(ISNA(VLOOKUP($B13,'LT02'!$B$11:$M$80,12,FALSE)),"",IF(VLOOKUP($B13,'LT02'!$B$11:$M$80,12,FALSE)="","",VLOOKUP($B13,'LT02'!$B$11:$M$80,12,FALSE)))))</f>
        <v>7.8</v>
      </c>
      <c r="M13" s="82">
        <f>IF(OR($L$6="",$L$7=""),"",IF($B13="","",IF(ISNA(VLOOKUP($B13,'LT02'!$B$11:$N$80,13,FALSE)),"",VLOOKUP($B13,'LT02'!$B$11:$N$80,13,FALSE))))</f>
        <v>7.7</v>
      </c>
      <c r="N13" s="83"/>
      <c r="O13" s="84" t="str">
        <f>IF(OR($L$6="",$L$7=""),"",IF($B13="","",IF(ISNA(VLOOKUP($B13,'LT02'!$B$11:$Q$80,16,FALSE)),"",VLOOKUP($B13,'LT02'!$B$11:$Q$80,16,FALSE))))</f>
        <v/>
      </c>
      <c r="P13" s="85">
        <f>IF(OR($P$6="",$P$7=""),"",IF($B13="","",IF(ISNA(VLOOKUP($B13,'LT03'!$B$11:$M$80,12,FALSE)),"",IF(VLOOKUP($B13,'LT03'!$B$11:$M$80,12,FALSE)="","",VLOOKUP($B13,'LT03'!$B$11:$M$80,12,FALSE)))))</f>
        <v>5</v>
      </c>
      <c r="Q13" s="82">
        <f>IF(OR($P$6="",$P$7=""),"",IF($B13="","",IF(ISNA(VLOOKUP($B13,'LT03'!$B$11:$N$80,13,FALSE)),"",VLOOKUP($B13,'LT03'!$B$11:$N$80,13,FALSE))))</f>
        <v>5.9</v>
      </c>
      <c r="R13" s="83"/>
      <c r="S13" s="84" t="str">
        <f>IF(OR($P$6="",$P$7=""),"",IF($B13="","",IF(ISNA(VLOOKUP($B13,'LT03'!$B$11:$Q$80,16,FALSE)),"",VLOOKUP($B13,'LT03'!$B$11:$Q$80,16,FALSE))))</f>
        <v/>
      </c>
      <c r="T13" s="85">
        <f>IF(OR($T$6="",$T$7=""),"",IF($B13="","",IF(ISNA(VLOOKUP($B13,'LT04'!$B$11:$M$80,12,FALSE)),"",IF(VLOOKUP($B13,'LT04'!$B$11:$M$80,12,FALSE)="","",VLOOKUP($B13,'LT04'!$B$11:$M$80,12,FALSE)))))</f>
        <v>9</v>
      </c>
      <c r="U13" s="82">
        <f>IF(OR($T$6="",$T$7=""),"",IF($B13="","",IF(ISNA(VLOOKUP($B13,'LT04'!$B$11:$N$80,13,FALSE)),"",VLOOKUP($B13,'LT04'!$B$11:$N$80,13,FALSE))))</f>
        <v>8.6999999999999993</v>
      </c>
      <c r="V13" s="83"/>
      <c r="W13" s="84" t="str">
        <f>IF(OR($T$6="",$T$7=""),"",IF($B13="","",IF(ISNA(VLOOKUP($B13,'LT04'!$B$11:$Q$80,16,FALSE)),"",VLOOKUP($B13,'LT04'!$B$11:$Q$80,16,FALSE))))</f>
        <v/>
      </c>
      <c r="X13" s="85">
        <f>IF(OR($X$6="",$X$7=""),"",IF($B13="","",IF(ISNA(VLOOKUP($B13,'LT05'!$B$11:$M$80,12,FALSE)),"",IF(VLOOKUP($B13,'LT05'!$B$11:$M$80,12,FALSE)="","",VLOOKUP($B13,'LT05'!$B$11:$M$80,12,FALSE)))))</f>
        <v>2.2999999999999998</v>
      </c>
      <c r="Y13" s="82">
        <f>IF(OR($X$6="",$X$7=""),"",IF($B13="","",IF(ISNA(VLOOKUP($B13,'LT05'!$B$11:$N$80,13,FALSE)),"",VLOOKUP($B13,'LT05'!$B$11:$N$80,13,FALSE))))</f>
        <v>4.0999999999999996</v>
      </c>
      <c r="Z13" s="83"/>
      <c r="AA13" s="84" t="str">
        <f>IF(OR($X$6="",$X$7=""),"",IF($B13="","",IF(ISNA(VLOOKUP($B13,'LT05'!$B$11:$Q$80,16,FALSE)),"",VLOOKUP($B13,'LT05'!$B$11:$Q$80,16,FALSE))))</f>
        <v/>
      </c>
      <c r="AB13" s="85" t="str">
        <f>IF(OR($AB$6="",$AB$7=""),"",IF($B13="","",IF(ISNA(VLOOKUP($B13,'LT06'!$B$11:$M$80,12,FALSE)),"",IF(VLOOKUP($B13,'LT06'!$B$11:$M$80,12,FALSE)="","",VLOOKUP($B13,'LT06'!$B$11:$M$80,12,FALSE)))))</f>
        <v/>
      </c>
      <c r="AC13" s="82" t="str">
        <f>IF(OR($AB$6="",$AB$7=""),"",IF($B13="","",IF(ISNA(VLOOKUP($B13,'LT06'!$B$11:$N$80,13,FALSE)),"",VLOOKUP($B13,'LT06'!$B$11:$N$80,13,FALSE))))</f>
        <v/>
      </c>
      <c r="AD13" s="83"/>
      <c r="AE13" s="84" t="str">
        <f>IF(OR($AB$6="",$AB$7=""),"",IF($B13="","",IF(ISNA(VLOOKUP($B13,'LT06'!$B$11:$Q$80,16,FALSE)),"",VLOOKUP($B13,'LT06'!$B$11:$Q$80,16,FALSE))))</f>
        <v/>
      </c>
      <c r="AF13" s="85" t="str">
        <f>IF(OR($AF$6="",$AF$7=""),"",IF($B13="","",IF(ISNA(VLOOKUP($B13,'LT07'!$B$11:$M$80,12,FALSE)),"",IF(VLOOKUP($B13,'LT07'!$B$11:$M$80,12,FALSE)="","",VLOOKUP($B13,'LT07'!$B$11:$M$80,12,FALSE)))))</f>
        <v/>
      </c>
      <c r="AG13" s="82" t="str">
        <f>IF(OR($AF$6="",$AF$7=""),"",IF($B13="","",IF(ISNA(VLOOKUP($B13,'LT07'!$B$11:$N$80,13,FALSE)),"",VLOOKUP($B13,'LT07'!$B$11:$N$80,13,FALSE))))</f>
        <v/>
      </c>
      <c r="AH13" s="83"/>
      <c r="AI13" s="84" t="str">
        <f>IF(OR($AF$6="",$AF$7=""),"",IF($B13="","",IF(ISNA(VLOOKUP($B13,'LT07'!$B$11:$Q$80,16,FALSE)),"",VLOOKUP($B13,'LT07'!$B$11:$Q$80,16,FALSE))))</f>
        <v/>
      </c>
      <c r="AJ13" s="304"/>
      <c r="AK13" s="82" t="str">
        <f>IF(OR($AJ$6="",$AJ$7=""),"",IF($B13="","",IF(ISNA(VLOOKUP($B13,'DO AN'!$B$11:$L$80,11,FALSE)),"",IF(VLOOKUP($B13,'DO AN'!$B$11:$L$80,11,FALSE)="","",VLOOKUP($B13,'DO AN'!$B$11:$L$80,11,FALSE)))))</f>
        <v/>
      </c>
      <c r="AL13" s="83"/>
      <c r="AM13" s="451"/>
      <c r="AN13" s="83"/>
      <c r="AO13" s="82" t="str">
        <f>IF(OR($AN$6="",$AN$7=""),"",IF($B13="","",IF(ISNA(VLOOKUP($B13,'DO AN 2'!$B$11:$L$80,11,FALSE)),"",IF(VLOOKUP($B13,'DO AN 2'!$B$11:$L$80,11,FALSE)="","",VLOOKUP($B13,'DO AN 2'!$B$11:$L$80,11,FALSE)))))</f>
        <v/>
      </c>
      <c r="AP13" s="83"/>
      <c r="AQ13" s="83"/>
      <c r="AR13" s="454"/>
      <c r="AS13" s="82">
        <f>IF(OR($AR$6="",$AR$7=""),"",IF($B13="","",IF(ISNA(VLOOKUP($B13,'TH01'!$B$11:$O$80,14,FALSE)),"",VLOOKUP($B13,'TH01'!$B$11:$O$80,14,FALSE))))</f>
        <v>7.2</v>
      </c>
      <c r="AT13" s="83"/>
      <c r="AU13" s="303"/>
      <c r="AV13" s="304"/>
      <c r="AW13" s="82">
        <f>IF(OR($AV$6="",$AV$7=""),"",IF($B13="","",IF(ISNA(VLOOKUP($B13,'TH02'!$B$11:$O$80,14,FALSE)),"",VLOOKUP($B13,'TH02'!$B$11:$O$80,14,FALSE))))</f>
        <v>6.5</v>
      </c>
      <c r="AX13" s="83"/>
      <c r="AY13" s="303"/>
      <c r="AZ13" s="304"/>
      <c r="BA13" s="82">
        <f>IF(OR($AZ$6="",$AZ$7=""),"",IF($B13="","",IF(ISNA(VLOOKUP($B13,'TH03'!$B$11:$O$80,14,FALSE)),"",VLOOKUP($B13,'TH03'!$B$11:$O$80,14,FALSE))))</f>
        <v>7.5</v>
      </c>
      <c r="BB13" s="83"/>
      <c r="BC13" s="303"/>
      <c r="BD13" s="86">
        <f t="shared" si="11"/>
        <v>6.8</v>
      </c>
      <c r="BE13" s="86" t="str">
        <f t="shared" si="12"/>
        <v/>
      </c>
      <c r="BF13" s="87">
        <v>61</v>
      </c>
      <c r="BG13" s="88" t="str">
        <f t="shared" si="0"/>
        <v>T.Bình</v>
      </c>
      <c r="BH13" s="88" t="str">
        <f t="shared" si="1"/>
        <v/>
      </c>
      <c r="BI13" s="87"/>
      <c r="BJ13" s="86" t="str">
        <f t="shared" si="2"/>
        <v/>
      </c>
      <c r="BK13" s="265">
        <f t="shared" si="3"/>
        <v>18</v>
      </c>
      <c r="BL13" s="88">
        <f t="shared" si="4"/>
        <v>0</v>
      </c>
      <c r="BM13" s="88">
        <f t="shared" si="5"/>
        <v>18</v>
      </c>
      <c r="BN13" s="88">
        <f t="shared" si="6"/>
        <v>0</v>
      </c>
      <c r="BO13" s="86">
        <f t="shared" si="13"/>
        <v>6.8</v>
      </c>
      <c r="BP13" s="86" t="str">
        <f t="shared" si="7"/>
        <v>BT</v>
      </c>
      <c r="BQ13" s="86">
        <f t="shared" si="14"/>
        <v>6.8</v>
      </c>
      <c r="BR13" s="86" t="str">
        <f t="shared" si="8"/>
        <v>BT</v>
      </c>
      <c r="BS13" s="87"/>
      <c r="BT13" s="276">
        <f t="shared" si="15"/>
        <v>1</v>
      </c>
      <c r="BU13" s="238">
        <f t="shared" si="16"/>
        <v>9</v>
      </c>
      <c r="BV13" s="238">
        <f t="shared" si="17"/>
        <v>7.8</v>
      </c>
      <c r="BW13" s="238">
        <f t="shared" si="18"/>
        <v>5</v>
      </c>
      <c r="BX13" s="238">
        <f t="shared" si="19"/>
        <v>9</v>
      </c>
      <c r="BY13" s="238">
        <f t="shared" si="20"/>
        <v>2.2999999999999998</v>
      </c>
      <c r="BZ13" s="238" t="str">
        <f t="shared" si="21"/>
        <v/>
      </c>
      <c r="CA13" s="238" t="str">
        <f t="shared" si="22"/>
        <v/>
      </c>
      <c r="CB13" s="238" t="str">
        <f t="shared" si="23"/>
        <v/>
      </c>
      <c r="CC13" s="238" t="str">
        <f t="shared" si="24"/>
        <v/>
      </c>
      <c r="CD13" s="238">
        <f t="shared" si="25"/>
        <v>7.2</v>
      </c>
      <c r="CE13" s="238">
        <f t="shared" si="26"/>
        <v>6.5</v>
      </c>
      <c r="CF13" s="238">
        <f t="shared" si="27"/>
        <v>7.5</v>
      </c>
      <c r="CG13" s="239">
        <f t="shared" si="28"/>
        <v>0</v>
      </c>
      <c r="CH13" s="238">
        <f t="shared" si="29"/>
        <v>7.7</v>
      </c>
      <c r="CI13" s="238">
        <f t="shared" si="30"/>
        <v>7.7</v>
      </c>
      <c r="CJ13" s="238">
        <f t="shared" si="31"/>
        <v>5.9</v>
      </c>
      <c r="CK13" s="238">
        <f t="shared" si="32"/>
        <v>8.6999999999999993</v>
      </c>
      <c r="CL13" s="238">
        <f t="shared" si="33"/>
        <v>4.0999999999999996</v>
      </c>
      <c r="CM13" s="238" t="str">
        <f t="shared" si="34"/>
        <v/>
      </c>
      <c r="CN13" s="238" t="str">
        <f t="shared" si="35"/>
        <v/>
      </c>
      <c r="CO13" s="238" t="str">
        <f t="shared" si="36"/>
        <v/>
      </c>
      <c r="CP13" s="238" t="str">
        <f t="shared" si="37"/>
        <v/>
      </c>
      <c r="CQ13" s="238">
        <f t="shared" si="38"/>
        <v>7.2</v>
      </c>
      <c r="CR13" s="238">
        <f t="shared" si="39"/>
        <v>6.5</v>
      </c>
      <c r="CS13" s="238">
        <f t="shared" si="40"/>
        <v>7.5</v>
      </c>
      <c r="CT13" s="240">
        <f t="shared" si="41"/>
        <v>6.8</v>
      </c>
      <c r="CU13" s="241">
        <f t="shared" si="42"/>
        <v>7.7</v>
      </c>
      <c r="CV13" s="241">
        <f t="shared" si="43"/>
        <v>7.7</v>
      </c>
      <c r="CW13" s="241">
        <f t="shared" si="44"/>
        <v>5.9</v>
      </c>
      <c r="CX13" s="241">
        <f t="shared" si="45"/>
        <v>8.6999999999999993</v>
      </c>
      <c r="CY13" s="241">
        <f t="shared" si="46"/>
        <v>4.0999999999999996</v>
      </c>
      <c r="CZ13" s="241" t="str">
        <f t="shared" si="47"/>
        <v/>
      </c>
      <c r="DA13" s="241" t="str">
        <f t="shared" si="48"/>
        <v/>
      </c>
      <c r="DB13" s="241" t="str">
        <f t="shared" si="49"/>
        <v/>
      </c>
      <c r="DC13" s="241" t="str">
        <f t="shared" si="50"/>
        <v/>
      </c>
      <c r="DD13" s="241">
        <f t="shared" si="51"/>
        <v>7.2</v>
      </c>
      <c r="DE13" s="241">
        <f t="shared" si="52"/>
        <v>6.5</v>
      </c>
      <c r="DF13" s="241">
        <f t="shared" si="53"/>
        <v>7.5</v>
      </c>
      <c r="DG13" s="242">
        <f t="shared" si="9"/>
        <v>6.8</v>
      </c>
      <c r="DH13" s="82" t="str">
        <f t="shared" si="54"/>
        <v/>
      </c>
      <c r="DI13" s="82" t="str">
        <f t="shared" si="55"/>
        <v/>
      </c>
      <c r="DJ13" s="82" t="str">
        <f t="shared" si="56"/>
        <v/>
      </c>
      <c r="DK13" s="82" t="str">
        <f t="shared" si="57"/>
        <v/>
      </c>
      <c r="DL13" s="82" t="str">
        <f t="shared" si="58"/>
        <v/>
      </c>
      <c r="DM13" s="82" t="str">
        <f t="shared" si="59"/>
        <v/>
      </c>
      <c r="DN13" s="82" t="str">
        <f t="shared" si="60"/>
        <v/>
      </c>
      <c r="DO13" s="82" t="str">
        <f t="shared" si="61"/>
        <v/>
      </c>
      <c r="DP13" s="82" t="str">
        <f t="shared" si="62"/>
        <v/>
      </c>
      <c r="DQ13" s="82" t="str">
        <f t="shared" si="63"/>
        <v/>
      </c>
      <c r="DR13" s="82" t="str">
        <f t="shared" si="64"/>
        <v/>
      </c>
      <c r="DS13" s="253" t="str">
        <f t="shared" si="65"/>
        <v/>
      </c>
      <c r="DT13" s="250">
        <f t="shared" si="66"/>
        <v>7.7</v>
      </c>
      <c r="DU13" s="238">
        <f t="shared" si="67"/>
        <v>7.7</v>
      </c>
      <c r="DV13" s="238">
        <f t="shared" si="68"/>
        <v>5.9</v>
      </c>
      <c r="DW13" s="238">
        <f t="shared" si="69"/>
        <v>8.6999999999999993</v>
      </c>
      <c r="DX13" s="238">
        <f t="shared" si="70"/>
        <v>4.0999999999999996</v>
      </c>
      <c r="DY13" s="238" t="str">
        <f t="shared" si="71"/>
        <v/>
      </c>
      <c r="DZ13" s="238" t="str">
        <f t="shared" si="72"/>
        <v/>
      </c>
      <c r="EA13" s="238" t="str">
        <f t="shared" si="73"/>
        <v/>
      </c>
      <c r="EB13" s="238" t="str">
        <f t="shared" si="74"/>
        <v/>
      </c>
      <c r="EC13" s="238">
        <f t="shared" si="75"/>
        <v>7.2</v>
      </c>
      <c r="ED13" s="238">
        <f t="shared" si="76"/>
        <v>6.5</v>
      </c>
      <c r="EE13" s="238">
        <f t="shared" si="77"/>
        <v>7.5</v>
      </c>
      <c r="EF13" s="255" t="str">
        <f t="shared" si="78"/>
        <v/>
      </c>
      <c r="EG13" s="257">
        <f t="shared" si="79"/>
        <v>7.7</v>
      </c>
      <c r="EH13" s="257">
        <f t="shared" si="80"/>
        <v>7.7</v>
      </c>
      <c r="EI13" s="257">
        <f t="shared" si="81"/>
        <v>5.9</v>
      </c>
      <c r="EJ13" s="257">
        <f t="shared" si="82"/>
        <v>8.6999999999999993</v>
      </c>
      <c r="EK13" s="257">
        <f t="shared" si="83"/>
        <v>4.0999999999999996</v>
      </c>
      <c r="EL13" s="257" t="str">
        <f t="shared" si="84"/>
        <v/>
      </c>
      <c r="EM13" s="257" t="str">
        <f t="shared" si="85"/>
        <v/>
      </c>
      <c r="EN13" s="257" t="str">
        <f t="shared" si="86"/>
        <v/>
      </c>
      <c r="EO13" s="257" t="str">
        <f t="shared" si="87"/>
        <v/>
      </c>
      <c r="EP13" s="257">
        <f t="shared" si="88"/>
        <v>7.2</v>
      </c>
      <c r="EQ13" s="257">
        <f t="shared" si="89"/>
        <v>6.5</v>
      </c>
      <c r="ER13" s="257">
        <f t="shared" si="90"/>
        <v>7.5</v>
      </c>
      <c r="ES13" s="262">
        <f t="shared" si="10"/>
        <v>6.8</v>
      </c>
      <c r="ET13" s="307">
        <f t="shared" si="91"/>
        <v>6.8</v>
      </c>
    </row>
    <row r="14" spans="1:161" s="89" customFormat="1" ht="30" customHeight="1">
      <c r="A14" s="272">
        <f>IF($B14="","",SUBTOTAL(3,$B$11:B14))</f>
        <v>4</v>
      </c>
      <c r="B14" s="457" t="s">
        <v>1799</v>
      </c>
      <c r="C14" s="76" t="str">
        <f>IF($B14="","",VLOOKUP($B14,'DS LOP HKI'!$B$2:$D$951,2,0))</f>
        <v>Trương Vũ</v>
      </c>
      <c r="D14" s="77" t="str">
        <f>IF($B14="","",VLOOKUP($B14,'DS LOP HKI'!$B$2:$D$951,3,0))</f>
        <v>Bảo</v>
      </c>
      <c r="E14" s="78"/>
      <c r="F14" s="79"/>
      <c r="G14" s="80">
        <v>2</v>
      </c>
      <c r="H14" s="81">
        <f>IF(OR($H$6="",$H$7=""),"",IF($B14="","",IF(ISNA(VLOOKUP($B14,'LT01'!$B$11:$M$80,12,FALSE)),"",IF(VLOOKUP($B14,'LT01'!$B$11:$M$80,12,FALSE)="","",VLOOKUP($B14,'LT01'!$B$11:$M$80,12,FALSE)))))</f>
        <v>8.8000000000000007</v>
      </c>
      <c r="I14" s="82">
        <f>IF(OR($H$6="",$H$7=""),"",IF($B14="","",IF(ISNA(VLOOKUP($B14,'LT01'!$B$11:$N$80,13,FALSE)),"",VLOOKUP($B14,'LT01'!$B$11:$N$80,13,FALSE))))</f>
        <v>8</v>
      </c>
      <c r="J14" s="83"/>
      <c r="K14" s="84" t="str">
        <f>IF(OR($H$6="",$H$7=""),"",IF($B14="","",IF(ISNA(VLOOKUP($B14,'LT01'!$B$11:$Q$80,16,FALSE)),"",IF(VLOOKUP($B14,'LT01'!$B$11:$Q$80,16,FALSE)="","",VLOOKUP($B14,'LT01'!$B$11:$Q$80,16,FALSE)))))</f>
        <v/>
      </c>
      <c r="L14" s="85">
        <f>IF(OR($L$6="",$L$7=""),"",IF($B14="","",IF(ISNA(VLOOKUP($B14,'LT02'!$B$11:$M$80,12,FALSE)),"",IF(VLOOKUP($B14,'LT02'!$B$11:$M$80,12,FALSE)="","",VLOOKUP($B14,'LT02'!$B$11:$M$80,12,FALSE)))))</f>
        <v>7.3</v>
      </c>
      <c r="M14" s="82">
        <f>IF(OR($L$6="",$L$7=""),"",IF($B14="","",IF(ISNA(VLOOKUP($B14,'LT02'!$B$11:$N$80,13,FALSE)),"",VLOOKUP($B14,'LT02'!$B$11:$N$80,13,FALSE))))</f>
        <v>7.2</v>
      </c>
      <c r="N14" s="83"/>
      <c r="O14" s="84" t="str">
        <f>IF(OR($L$6="",$L$7=""),"",IF($B14="","",IF(ISNA(VLOOKUP($B14,'LT02'!$B$11:$Q$80,16,FALSE)),"",VLOOKUP($B14,'LT02'!$B$11:$Q$80,16,FALSE))))</f>
        <v/>
      </c>
      <c r="P14" s="85">
        <f>IF(OR($P$6="",$P$7=""),"",IF($B14="","",IF(ISNA(VLOOKUP($B14,'LT03'!$B$11:$M$80,12,FALSE)),"",IF(VLOOKUP($B14,'LT03'!$B$11:$M$80,12,FALSE)="","",VLOOKUP($B14,'LT03'!$B$11:$M$80,12,FALSE)))))</f>
        <v>5</v>
      </c>
      <c r="Q14" s="82">
        <f>IF(OR($P$6="",$P$7=""),"",IF($B14="","",IF(ISNA(VLOOKUP($B14,'LT03'!$B$11:$N$80,13,FALSE)),"",VLOOKUP($B14,'LT03'!$B$11:$N$80,13,FALSE))))</f>
        <v>5.7</v>
      </c>
      <c r="R14" s="83"/>
      <c r="S14" s="84" t="str">
        <f>IF(OR($P$6="",$P$7=""),"",IF($B14="","",IF(ISNA(VLOOKUP($B14,'LT03'!$B$11:$Q$80,16,FALSE)),"",VLOOKUP($B14,'LT03'!$B$11:$Q$80,16,FALSE))))</f>
        <v/>
      </c>
      <c r="T14" s="85">
        <f>IF(OR($T$6="",$T$7=""),"",IF($B14="","",IF(ISNA(VLOOKUP($B14,'LT04'!$B$11:$M$80,12,FALSE)),"",IF(VLOOKUP($B14,'LT04'!$B$11:$M$80,12,FALSE)="","",VLOOKUP($B14,'LT04'!$B$11:$M$80,12,FALSE)))))</f>
        <v>9</v>
      </c>
      <c r="U14" s="82">
        <f>IF(OR($T$6="",$T$7=""),"",IF($B14="","",IF(ISNA(VLOOKUP($B14,'LT04'!$B$11:$N$80,13,FALSE)),"",VLOOKUP($B14,'LT04'!$B$11:$N$80,13,FALSE))))</f>
        <v>8.5</v>
      </c>
      <c r="V14" s="83"/>
      <c r="W14" s="84" t="str">
        <f>IF(OR($T$6="",$T$7=""),"",IF($B14="","",IF(ISNA(VLOOKUP($B14,'LT04'!$B$11:$Q$80,16,FALSE)),"",VLOOKUP($B14,'LT04'!$B$11:$Q$80,16,FALSE))))</f>
        <v/>
      </c>
      <c r="X14" s="85">
        <f>IF(OR($X$6="",$X$7=""),"",IF($B14="","",IF(ISNA(VLOOKUP($B14,'LT05'!$B$11:$M$80,12,FALSE)),"",IF(VLOOKUP($B14,'LT05'!$B$11:$M$80,12,FALSE)="","",VLOOKUP($B14,'LT05'!$B$11:$M$80,12,FALSE)))))</f>
        <v>3</v>
      </c>
      <c r="Y14" s="82">
        <f>IF(OR($X$6="",$X$7=""),"",IF($B14="","",IF(ISNA(VLOOKUP($B14,'LT05'!$B$11:$N$80,13,FALSE)),"",VLOOKUP($B14,'LT05'!$B$11:$N$80,13,FALSE))))</f>
        <v>4.5</v>
      </c>
      <c r="Z14" s="83"/>
      <c r="AA14" s="84" t="str">
        <f>IF(OR($X$6="",$X$7=""),"",IF($B14="","",IF(ISNA(VLOOKUP($B14,'LT05'!$B$11:$Q$80,16,FALSE)),"",VLOOKUP($B14,'LT05'!$B$11:$Q$80,16,FALSE))))</f>
        <v/>
      </c>
      <c r="AB14" s="85" t="str">
        <f>IF(OR($AB$6="",$AB$7=""),"",IF($B14="","",IF(ISNA(VLOOKUP($B14,'LT06'!$B$11:$M$80,12,FALSE)),"",IF(VLOOKUP($B14,'LT06'!$B$11:$M$80,12,FALSE)="","",VLOOKUP($B14,'LT06'!$B$11:$M$80,12,FALSE)))))</f>
        <v/>
      </c>
      <c r="AC14" s="82" t="str">
        <f>IF(OR($AB$6="",$AB$7=""),"",IF($B14="","",IF(ISNA(VLOOKUP($B14,'LT06'!$B$11:$N$80,13,FALSE)),"",VLOOKUP($B14,'LT06'!$B$11:$N$80,13,FALSE))))</f>
        <v/>
      </c>
      <c r="AD14" s="83"/>
      <c r="AE14" s="84" t="str">
        <f>IF(OR($AB$6="",$AB$7=""),"",IF($B14="","",IF(ISNA(VLOOKUP($B14,'LT06'!$B$11:$Q$80,16,FALSE)),"",VLOOKUP($B14,'LT06'!$B$11:$Q$80,16,FALSE))))</f>
        <v/>
      </c>
      <c r="AF14" s="85" t="str">
        <f>IF(OR($AF$6="",$AF$7=""),"",IF($B14="","",IF(ISNA(VLOOKUP($B14,'LT07'!$B$11:$M$80,12,FALSE)),"",IF(VLOOKUP($B14,'LT07'!$B$11:$M$80,12,FALSE)="","",VLOOKUP($B14,'LT07'!$B$11:$M$80,12,FALSE)))))</f>
        <v/>
      </c>
      <c r="AG14" s="82" t="str">
        <f>IF(OR($AF$6="",$AF$7=""),"",IF($B14="","",IF(ISNA(VLOOKUP($B14,'LT07'!$B$11:$N$80,13,FALSE)),"",VLOOKUP($B14,'LT07'!$B$11:$N$80,13,FALSE))))</f>
        <v/>
      </c>
      <c r="AH14" s="83"/>
      <c r="AI14" s="84" t="str">
        <f>IF(OR($AF$6="",$AF$7=""),"",IF($B14="","",IF(ISNA(VLOOKUP($B14,'LT07'!$B$11:$Q$80,16,FALSE)),"",VLOOKUP($B14,'LT07'!$B$11:$Q$80,16,FALSE))))</f>
        <v/>
      </c>
      <c r="AJ14" s="304"/>
      <c r="AK14" s="82" t="str">
        <f>IF(OR($AJ$6="",$AJ$7=""),"",IF($B14="","",IF(ISNA(VLOOKUP($B14,'DO AN'!$B$11:$L$80,11,FALSE)),"",IF(VLOOKUP($B14,'DO AN'!$B$11:$L$80,11,FALSE)="","",VLOOKUP($B14,'DO AN'!$B$11:$L$80,11,FALSE)))))</f>
        <v/>
      </c>
      <c r="AL14" s="83"/>
      <c r="AM14" s="451"/>
      <c r="AN14" s="83"/>
      <c r="AO14" s="82" t="str">
        <f>IF(OR($AN$6="",$AN$7=""),"",IF($B14="","",IF(ISNA(VLOOKUP($B14,'DO AN 2'!$B$11:$L$80,11,FALSE)),"",IF(VLOOKUP($B14,'DO AN 2'!$B$11:$L$80,11,FALSE)="","",VLOOKUP($B14,'DO AN 2'!$B$11:$L$80,11,FALSE)))))</f>
        <v/>
      </c>
      <c r="AP14" s="83"/>
      <c r="AQ14" s="83"/>
      <c r="AR14" s="454"/>
      <c r="AS14" s="82">
        <f>IF(OR($AR$6="",$AR$7=""),"",IF($B14="","",IF(ISNA(VLOOKUP($B14,'TH01'!$B$11:$O$80,14,FALSE)),"",VLOOKUP($B14,'TH01'!$B$11:$O$80,14,FALSE))))</f>
        <v>7.2</v>
      </c>
      <c r="AT14" s="83"/>
      <c r="AU14" s="303"/>
      <c r="AV14" s="304"/>
      <c r="AW14" s="82">
        <f>IF(OR($AV$6="",$AV$7=""),"",IF($B14="","",IF(ISNA(VLOOKUP($B14,'TH02'!$B$11:$O$80,14,FALSE)),"",VLOOKUP($B14,'TH02'!$B$11:$O$80,14,FALSE))))</f>
        <v>7</v>
      </c>
      <c r="AX14" s="83"/>
      <c r="AY14" s="303"/>
      <c r="AZ14" s="304"/>
      <c r="BA14" s="82">
        <f>IF(OR($AZ$6="",$AZ$7=""),"",IF($B14="","",IF(ISNA(VLOOKUP($B14,'TH03'!$B$11:$O$80,14,FALSE)),"",VLOOKUP($B14,'TH03'!$B$11:$O$80,14,FALSE))))</f>
        <v>7.8</v>
      </c>
      <c r="BB14" s="83"/>
      <c r="BC14" s="303"/>
      <c r="BD14" s="86">
        <f t="shared" si="11"/>
        <v>6.91</v>
      </c>
      <c r="BE14" s="86" t="str">
        <f t="shared" si="12"/>
        <v/>
      </c>
      <c r="BF14" s="87">
        <v>59</v>
      </c>
      <c r="BG14" s="88" t="str">
        <f t="shared" si="0"/>
        <v>T.Bình</v>
      </c>
      <c r="BH14" s="88" t="str">
        <f t="shared" si="1"/>
        <v/>
      </c>
      <c r="BI14" s="87"/>
      <c r="BJ14" s="86" t="str">
        <f t="shared" si="2"/>
        <v/>
      </c>
      <c r="BK14" s="265">
        <f t="shared" si="3"/>
        <v>18</v>
      </c>
      <c r="BL14" s="88">
        <f t="shared" si="4"/>
        <v>0</v>
      </c>
      <c r="BM14" s="88">
        <f t="shared" si="5"/>
        <v>18</v>
      </c>
      <c r="BN14" s="88">
        <f t="shared" si="6"/>
        <v>0</v>
      </c>
      <c r="BO14" s="86">
        <f t="shared" si="13"/>
        <v>6.91</v>
      </c>
      <c r="BP14" s="86" t="str">
        <f t="shared" si="7"/>
        <v>BT</v>
      </c>
      <c r="BQ14" s="86">
        <f t="shared" si="14"/>
        <v>6.91</v>
      </c>
      <c r="BR14" s="86" t="str">
        <f t="shared" si="8"/>
        <v>BT</v>
      </c>
      <c r="BS14" s="87"/>
      <c r="BT14" s="276">
        <f t="shared" si="15"/>
        <v>1</v>
      </c>
      <c r="BU14" s="238">
        <f t="shared" si="16"/>
        <v>8.8000000000000007</v>
      </c>
      <c r="BV14" s="238">
        <f t="shared" si="17"/>
        <v>7.3</v>
      </c>
      <c r="BW14" s="238">
        <f t="shared" si="18"/>
        <v>5</v>
      </c>
      <c r="BX14" s="238">
        <f t="shared" si="19"/>
        <v>9</v>
      </c>
      <c r="BY14" s="238">
        <f t="shared" si="20"/>
        <v>3</v>
      </c>
      <c r="BZ14" s="238" t="str">
        <f t="shared" si="21"/>
        <v/>
      </c>
      <c r="CA14" s="238" t="str">
        <f t="shared" si="22"/>
        <v/>
      </c>
      <c r="CB14" s="238" t="str">
        <f t="shared" si="23"/>
        <v/>
      </c>
      <c r="CC14" s="238" t="str">
        <f t="shared" si="24"/>
        <v/>
      </c>
      <c r="CD14" s="238">
        <f t="shared" si="25"/>
        <v>7.2</v>
      </c>
      <c r="CE14" s="238">
        <f t="shared" si="26"/>
        <v>7</v>
      </c>
      <c r="CF14" s="238">
        <f t="shared" si="27"/>
        <v>7.8</v>
      </c>
      <c r="CG14" s="239">
        <f t="shared" si="28"/>
        <v>0</v>
      </c>
      <c r="CH14" s="238">
        <f t="shared" si="29"/>
        <v>8</v>
      </c>
      <c r="CI14" s="238">
        <f t="shared" si="30"/>
        <v>7.2</v>
      </c>
      <c r="CJ14" s="238">
        <f t="shared" si="31"/>
        <v>5.7</v>
      </c>
      <c r="CK14" s="238">
        <f t="shared" si="32"/>
        <v>8.5</v>
      </c>
      <c r="CL14" s="238">
        <f t="shared" si="33"/>
        <v>4.5</v>
      </c>
      <c r="CM14" s="238" t="str">
        <f t="shared" si="34"/>
        <v/>
      </c>
      <c r="CN14" s="238" t="str">
        <f t="shared" si="35"/>
        <v/>
      </c>
      <c r="CO14" s="238" t="str">
        <f t="shared" si="36"/>
        <v/>
      </c>
      <c r="CP14" s="238" t="str">
        <f t="shared" si="37"/>
        <v/>
      </c>
      <c r="CQ14" s="238">
        <f t="shared" si="38"/>
        <v>7.2</v>
      </c>
      <c r="CR14" s="238">
        <f t="shared" si="39"/>
        <v>7</v>
      </c>
      <c r="CS14" s="238">
        <f t="shared" si="40"/>
        <v>7.8</v>
      </c>
      <c r="CT14" s="240">
        <f t="shared" si="41"/>
        <v>6.91</v>
      </c>
      <c r="CU14" s="241">
        <f t="shared" si="42"/>
        <v>8</v>
      </c>
      <c r="CV14" s="241">
        <f t="shared" si="43"/>
        <v>7.2</v>
      </c>
      <c r="CW14" s="241">
        <f t="shared" si="44"/>
        <v>5.7</v>
      </c>
      <c r="CX14" s="241">
        <f t="shared" si="45"/>
        <v>8.5</v>
      </c>
      <c r="CY14" s="241">
        <f t="shared" si="46"/>
        <v>4.5</v>
      </c>
      <c r="CZ14" s="241" t="str">
        <f t="shared" si="47"/>
        <v/>
      </c>
      <c r="DA14" s="241" t="str">
        <f t="shared" si="48"/>
        <v/>
      </c>
      <c r="DB14" s="241" t="str">
        <f t="shared" si="49"/>
        <v/>
      </c>
      <c r="DC14" s="241" t="str">
        <f t="shared" si="50"/>
        <v/>
      </c>
      <c r="DD14" s="241">
        <f t="shared" si="51"/>
        <v>7.2</v>
      </c>
      <c r="DE14" s="241">
        <f t="shared" si="52"/>
        <v>7</v>
      </c>
      <c r="DF14" s="241">
        <f t="shared" si="53"/>
        <v>7.8</v>
      </c>
      <c r="DG14" s="242">
        <f t="shared" si="9"/>
        <v>6.91</v>
      </c>
      <c r="DH14" s="82" t="str">
        <f t="shared" si="54"/>
        <v/>
      </c>
      <c r="DI14" s="82" t="str">
        <f t="shared" si="55"/>
        <v/>
      </c>
      <c r="DJ14" s="82" t="str">
        <f t="shared" si="56"/>
        <v/>
      </c>
      <c r="DK14" s="82" t="str">
        <f t="shared" si="57"/>
        <v/>
      </c>
      <c r="DL14" s="82" t="str">
        <f t="shared" si="58"/>
        <v/>
      </c>
      <c r="DM14" s="82" t="str">
        <f t="shared" si="59"/>
        <v/>
      </c>
      <c r="DN14" s="82" t="str">
        <f t="shared" si="60"/>
        <v/>
      </c>
      <c r="DO14" s="82" t="str">
        <f t="shared" si="61"/>
        <v/>
      </c>
      <c r="DP14" s="82" t="str">
        <f t="shared" si="62"/>
        <v/>
      </c>
      <c r="DQ14" s="82" t="str">
        <f t="shared" si="63"/>
        <v/>
      </c>
      <c r="DR14" s="82" t="str">
        <f t="shared" si="64"/>
        <v/>
      </c>
      <c r="DS14" s="253" t="str">
        <f t="shared" si="65"/>
        <v/>
      </c>
      <c r="DT14" s="250">
        <f t="shared" si="66"/>
        <v>8</v>
      </c>
      <c r="DU14" s="238">
        <f t="shared" si="67"/>
        <v>7.2</v>
      </c>
      <c r="DV14" s="238">
        <f t="shared" si="68"/>
        <v>5.7</v>
      </c>
      <c r="DW14" s="238">
        <f t="shared" si="69"/>
        <v>8.5</v>
      </c>
      <c r="DX14" s="238">
        <f t="shared" si="70"/>
        <v>4.5</v>
      </c>
      <c r="DY14" s="238" t="str">
        <f t="shared" si="71"/>
        <v/>
      </c>
      <c r="DZ14" s="238" t="str">
        <f t="shared" si="72"/>
        <v/>
      </c>
      <c r="EA14" s="238" t="str">
        <f t="shared" si="73"/>
        <v/>
      </c>
      <c r="EB14" s="238" t="str">
        <f t="shared" si="74"/>
        <v/>
      </c>
      <c r="EC14" s="238">
        <f t="shared" si="75"/>
        <v>7.2</v>
      </c>
      <c r="ED14" s="238">
        <f t="shared" si="76"/>
        <v>7</v>
      </c>
      <c r="EE14" s="238">
        <f t="shared" si="77"/>
        <v>7.8</v>
      </c>
      <c r="EF14" s="255" t="str">
        <f t="shared" si="78"/>
        <v/>
      </c>
      <c r="EG14" s="257">
        <f t="shared" si="79"/>
        <v>8</v>
      </c>
      <c r="EH14" s="257">
        <f t="shared" si="80"/>
        <v>7.2</v>
      </c>
      <c r="EI14" s="257">
        <f t="shared" si="81"/>
        <v>5.7</v>
      </c>
      <c r="EJ14" s="257">
        <f t="shared" si="82"/>
        <v>8.5</v>
      </c>
      <c r="EK14" s="257">
        <f t="shared" si="83"/>
        <v>4.5</v>
      </c>
      <c r="EL14" s="257" t="str">
        <f t="shared" si="84"/>
        <v/>
      </c>
      <c r="EM14" s="257" t="str">
        <f t="shared" si="85"/>
        <v/>
      </c>
      <c r="EN14" s="257" t="str">
        <f t="shared" si="86"/>
        <v/>
      </c>
      <c r="EO14" s="257" t="str">
        <f t="shared" si="87"/>
        <v/>
      </c>
      <c r="EP14" s="257">
        <f t="shared" si="88"/>
        <v>7.2</v>
      </c>
      <c r="EQ14" s="257">
        <f t="shared" si="89"/>
        <v>7</v>
      </c>
      <c r="ER14" s="257">
        <f t="shared" si="90"/>
        <v>7.8</v>
      </c>
      <c r="ES14" s="262">
        <f t="shared" si="10"/>
        <v>6.91</v>
      </c>
      <c r="ET14" s="307">
        <f t="shared" si="91"/>
        <v>6.91</v>
      </c>
    </row>
    <row r="15" spans="1:161" s="89" customFormat="1" ht="30" customHeight="1">
      <c r="A15" s="272">
        <f>IF($B15="","",SUBTOTAL(3,$B$11:B15))</f>
        <v>5</v>
      </c>
      <c r="B15" s="457" t="s">
        <v>1554</v>
      </c>
      <c r="C15" s="76" t="str">
        <f>IF($B15="","",VLOOKUP($B15,'DS LOP HKI'!$B$2:$D$951,2,0))</f>
        <v>Võ Thành</v>
      </c>
      <c r="D15" s="77" t="str">
        <f>IF($B15="","",VLOOKUP($B15,'DS LOP HKI'!$B$2:$D$951,3,0))</f>
        <v>Bảo</v>
      </c>
      <c r="E15" s="78"/>
      <c r="F15" s="79"/>
      <c r="G15" s="80">
        <v>1</v>
      </c>
      <c r="H15" s="81">
        <f>IF(OR($H$6="",$H$7=""),"",IF($B15="","",IF(ISNA(VLOOKUP($B15,'LT01'!$B$11:$M$80,12,FALSE)),"",IF(VLOOKUP($B15,'LT01'!$B$11:$M$80,12,FALSE)="","",VLOOKUP($B15,'LT01'!$B$11:$M$80,12,FALSE)))))</f>
        <v>7.3</v>
      </c>
      <c r="I15" s="82">
        <f>IF(OR($H$6="",$H$7=""),"",IF($B15="","",IF(ISNA(VLOOKUP($B15,'LT01'!$B$11:$N$80,13,FALSE)),"",VLOOKUP($B15,'LT01'!$B$11:$N$80,13,FALSE))))</f>
        <v>6.6</v>
      </c>
      <c r="J15" s="83"/>
      <c r="K15" s="84" t="str">
        <f>IF(OR($H$6="",$H$7=""),"",IF($B15="","",IF(ISNA(VLOOKUP($B15,'LT01'!$B$11:$Q$80,16,FALSE)),"",IF(VLOOKUP($B15,'LT01'!$B$11:$Q$80,16,FALSE)="","",VLOOKUP($B15,'LT01'!$B$11:$Q$80,16,FALSE)))))</f>
        <v/>
      </c>
      <c r="L15" s="85">
        <f>IF(OR($L$6="",$L$7=""),"",IF($B15="","",IF(ISNA(VLOOKUP($B15,'LT02'!$B$11:$M$80,12,FALSE)),"",IF(VLOOKUP($B15,'LT02'!$B$11:$M$80,12,FALSE)="","",VLOOKUP($B15,'LT02'!$B$11:$M$80,12,FALSE)))))</f>
        <v>5</v>
      </c>
      <c r="M15" s="82">
        <f>IF(OR($L$6="",$L$7=""),"",IF($B15="","",IF(ISNA(VLOOKUP($B15,'LT02'!$B$11:$N$80,13,FALSE)),"",VLOOKUP($B15,'LT02'!$B$11:$N$80,13,FALSE))))</f>
        <v>5.0999999999999996</v>
      </c>
      <c r="N15" s="83"/>
      <c r="O15" s="84" t="str">
        <f>IF(OR($L$6="",$L$7=""),"",IF($B15="","",IF(ISNA(VLOOKUP($B15,'LT02'!$B$11:$Q$80,16,FALSE)),"",VLOOKUP($B15,'LT02'!$B$11:$Q$80,16,FALSE))))</f>
        <v/>
      </c>
      <c r="P15" s="85">
        <f>IF(OR($P$6="",$P$7=""),"",IF($B15="","",IF(ISNA(VLOOKUP($B15,'LT03'!$B$11:$M$80,12,FALSE)),"",IF(VLOOKUP($B15,'LT03'!$B$11:$M$80,12,FALSE)="","",VLOOKUP($B15,'LT03'!$B$11:$M$80,12,FALSE)))))</f>
        <v>4</v>
      </c>
      <c r="Q15" s="82">
        <f>IF(OR($P$6="",$P$7=""),"",IF($B15="","",IF(ISNA(VLOOKUP($B15,'LT03'!$B$11:$N$80,13,FALSE)),"",VLOOKUP($B15,'LT03'!$B$11:$N$80,13,FALSE))))</f>
        <v>4.7</v>
      </c>
      <c r="R15" s="83"/>
      <c r="S15" s="84" t="str">
        <f>IF(OR($P$6="",$P$7=""),"",IF($B15="","",IF(ISNA(VLOOKUP($B15,'LT03'!$B$11:$Q$80,16,FALSE)),"",VLOOKUP($B15,'LT03'!$B$11:$Q$80,16,FALSE))))</f>
        <v/>
      </c>
      <c r="T15" s="85">
        <f>IF(OR($T$6="",$T$7=""),"",IF($B15="","",IF(ISNA(VLOOKUP($B15,'LT04'!$B$11:$M$80,12,FALSE)),"",IF(VLOOKUP($B15,'LT04'!$B$11:$M$80,12,FALSE)="","",VLOOKUP($B15,'LT04'!$B$11:$M$80,12,FALSE)))))</f>
        <v>7</v>
      </c>
      <c r="U15" s="82">
        <f>IF(OR($T$6="",$T$7=""),"",IF($B15="","",IF(ISNA(VLOOKUP($B15,'LT04'!$B$11:$N$80,13,FALSE)),"",VLOOKUP($B15,'LT04'!$B$11:$N$80,13,FALSE))))</f>
        <v>7</v>
      </c>
      <c r="V15" s="83"/>
      <c r="W15" s="84" t="str">
        <f>IF(OR($T$6="",$T$7=""),"",IF($B15="","",IF(ISNA(VLOOKUP($B15,'LT04'!$B$11:$Q$80,16,FALSE)),"",VLOOKUP($B15,'LT04'!$B$11:$Q$80,16,FALSE))))</f>
        <v/>
      </c>
      <c r="X15" s="85">
        <f>IF(OR($X$6="",$X$7=""),"",IF($B15="","",IF(ISNA(VLOOKUP($B15,'LT05'!$B$11:$M$80,12,FALSE)),"",IF(VLOOKUP($B15,'LT05'!$B$11:$M$80,12,FALSE)="","",VLOOKUP($B15,'LT05'!$B$11:$M$80,12,FALSE)))))</f>
        <v>2</v>
      </c>
      <c r="Y15" s="82">
        <f>IF(OR($X$6="",$X$7=""),"",IF($B15="","",IF(ISNA(VLOOKUP($B15,'LT05'!$B$11:$N$80,13,FALSE)),"",VLOOKUP($B15,'LT05'!$B$11:$N$80,13,FALSE))))</f>
        <v>3.2</v>
      </c>
      <c r="Z15" s="83"/>
      <c r="AA15" s="84" t="str">
        <f>IF(OR($X$6="",$X$7=""),"",IF($B15="","",IF(ISNA(VLOOKUP($B15,'LT05'!$B$11:$Q$80,16,FALSE)),"",VLOOKUP($B15,'LT05'!$B$11:$Q$80,16,FALSE))))</f>
        <v/>
      </c>
      <c r="AB15" s="85" t="str">
        <f>IF(OR($AB$6="",$AB$7=""),"",IF($B15="","",IF(ISNA(VLOOKUP($B15,'LT06'!$B$11:$M$80,12,FALSE)),"",IF(VLOOKUP($B15,'LT06'!$B$11:$M$80,12,FALSE)="","",VLOOKUP($B15,'LT06'!$B$11:$M$80,12,FALSE)))))</f>
        <v/>
      </c>
      <c r="AC15" s="82" t="str">
        <f>IF(OR($AB$6="",$AB$7=""),"",IF($B15="","",IF(ISNA(VLOOKUP($B15,'LT06'!$B$11:$N$80,13,FALSE)),"",VLOOKUP($B15,'LT06'!$B$11:$N$80,13,FALSE))))</f>
        <v/>
      </c>
      <c r="AD15" s="83"/>
      <c r="AE15" s="84" t="str">
        <f>IF(OR($AB$6="",$AB$7=""),"",IF($B15="","",IF(ISNA(VLOOKUP($B15,'LT06'!$B$11:$Q$80,16,FALSE)),"",VLOOKUP($B15,'LT06'!$B$11:$Q$80,16,FALSE))))</f>
        <v/>
      </c>
      <c r="AF15" s="85" t="str">
        <f>IF(OR($AF$6="",$AF$7=""),"",IF($B15="","",IF(ISNA(VLOOKUP($B15,'LT07'!$B$11:$M$80,12,FALSE)),"",IF(VLOOKUP($B15,'LT07'!$B$11:$M$80,12,FALSE)="","",VLOOKUP($B15,'LT07'!$B$11:$M$80,12,FALSE)))))</f>
        <v/>
      </c>
      <c r="AG15" s="82" t="str">
        <f>IF(OR($AF$6="",$AF$7=""),"",IF($B15="","",IF(ISNA(VLOOKUP($B15,'LT07'!$B$11:$N$80,13,FALSE)),"",VLOOKUP($B15,'LT07'!$B$11:$N$80,13,FALSE))))</f>
        <v/>
      </c>
      <c r="AH15" s="83"/>
      <c r="AI15" s="84" t="str">
        <f>IF(OR($AF$6="",$AF$7=""),"",IF($B15="","",IF(ISNA(VLOOKUP($B15,'LT07'!$B$11:$Q$80,16,FALSE)),"",VLOOKUP($B15,'LT07'!$B$11:$Q$80,16,FALSE))))</f>
        <v/>
      </c>
      <c r="AJ15" s="304"/>
      <c r="AK15" s="82" t="str">
        <f>IF(OR($AJ$6="",$AJ$7=""),"",IF($B15="","",IF(ISNA(VLOOKUP($B15,'DO AN'!$B$11:$L$80,11,FALSE)),"",IF(VLOOKUP($B15,'DO AN'!$B$11:$L$80,11,FALSE)="","",VLOOKUP($B15,'DO AN'!$B$11:$L$80,11,FALSE)))))</f>
        <v/>
      </c>
      <c r="AL15" s="83"/>
      <c r="AM15" s="451"/>
      <c r="AN15" s="83"/>
      <c r="AO15" s="82" t="str">
        <f>IF(OR($AN$6="",$AN$7=""),"",IF($B15="","",IF(ISNA(VLOOKUP($B15,'DO AN 2'!$B$11:$L$80,11,FALSE)),"",IF(VLOOKUP($B15,'DO AN 2'!$B$11:$L$80,11,FALSE)="","",VLOOKUP($B15,'DO AN 2'!$B$11:$L$80,11,FALSE)))))</f>
        <v/>
      </c>
      <c r="AP15" s="83"/>
      <c r="AQ15" s="83"/>
      <c r="AR15" s="454"/>
      <c r="AS15" s="82">
        <f>IF(OR($AR$6="",$AR$7=""),"",IF($B15="","",IF(ISNA(VLOOKUP($B15,'TH01'!$B$11:$O$80,14,FALSE)),"",VLOOKUP($B15,'TH01'!$B$11:$O$80,14,FALSE))))</f>
        <v>7.2</v>
      </c>
      <c r="AT15" s="83"/>
      <c r="AU15" s="303"/>
      <c r="AV15" s="304"/>
      <c r="AW15" s="82">
        <f>IF(OR($AV$6="",$AV$7=""),"",IF($B15="","",IF(ISNA(VLOOKUP($B15,'TH02'!$B$11:$O$80,14,FALSE)),"",VLOOKUP($B15,'TH02'!$B$11:$O$80,14,FALSE))))</f>
        <v>3.5</v>
      </c>
      <c r="AX15" s="83"/>
      <c r="AY15" s="303"/>
      <c r="AZ15" s="304"/>
      <c r="BA15" s="82">
        <f>IF(OR($AZ$6="",$AZ$7=""),"",IF($B15="","",IF(ISNA(VLOOKUP($B15,'TH03'!$B$11:$O$80,14,FALSE)),"",VLOOKUP($B15,'TH03'!$B$11:$O$80,14,FALSE))))</f>
        <v>7</v>
      </c>
      <c r="BB15" s="83"/>
      <c r="BC15" s="303"/>
      <c r="BD15" s="86">
        <f t="shared" si="11"/>
        <v>5.47</v>
      </c>
      <c r="BE15" s="86" t="str">
        <f t="shared" si="12"/>
        <v/>
      </c>
      <c r="BF15" s="87">
        <v>59</v>
      </c>
      <c r="BG15" s="88" t="str">
        <f t="shared" si="0"/>
        <v>TB Yếu</v>
      </c>
      <c r="BH15" s="88" t="str">
        <f t="shared" si="1"/>
        <v/>
      </c>
      <c r="BI15" s="87"/>
      <c r="BJ15" s="86" t="str">
        <f t="shared" si="2"/>
        <v/>
      </c>
      <c r="BK15" s="265">
        <f t="shared" si="3"/>
        <v>13</v>
      </c>
      <c r="BL15" s="88">
        <f t="shared" si="4"/>
        <v>5</v>
      </c>
      <c r="BM15" s="88">
        <f t="shared" si="5"/>
        <v>13</v>
      </c>
      <c r="BN15" s="88">
        <f t="shared" si="6"/>
        <v>5</v>
      </c>
      <c r="BO15" s="86">
        <f t="shared" si="13"/>
        <v>6.29</v>
      </c>
      <c r="BP15" s="86" t="str">
        <f t="shared" si="7"/>
        <v>BT</v>
      </c>
      <c r="BQ15" s="86">
        <f t="shared" si="14"/>
        <v>6.29</v>
      </c>
      <c r="BR15" s="86" t="str">
        <f t="shared" si="8"/>
        <v>BT</v>
      </c>
      <c r="BS15" s="87"/>
      <c r="BT15" s="276">
        <f t="shared" si="15"/>
        <v>3</v>
      </c>
      <c r="BU15" s="238">
        <f t="shared" si="16"/>
        <v>7.3</v>
      </c>
      <c r="BV15" s="238">
        <f t="shared" si="17"/>
        <v>5</v>
      </c>
      <c r="BW15" s="238">
        <f t="shared" si="18"/>
        <v>4</v>
      </c>
      <c r="BX15" s="238">
        <f t="shared" si="19"/>
        <v>7</v>
      </c>
      <c r="BY15" s="238">
        <f t="shared" si="20"/>
        <v>2</v>
      </c>
      <c r="BZ15" s="238" t="str">
        <f t="shared" si="21"/>
        <v/>
      </c>
      <c r="CA15" s="238" t="str">
        <f t="shared" si="22"/>
        <v/>
      </c>
      <c r="CB15" s="238" t="str">
        <f t="shared" si="23"/>
        <v/>
      </c>
      <c r="CC15" s="238" t="str">
        <f t="shared" si="24"/>
        <v/>
      </c>
      <c r="CD15" s="238">
        <f t="shared" si="25"/>
        <v>7.2</v>
      </c>
      <c r="CE15" s="238">
        <f t="shared" si="26"/>
        <v>3.5</v>
      </c>
      <c r="CF15" s="238">
        <f t="shared" si="27"/>
        <v>7</v>
      </c>
      <c r="CG15" s="239">
        <f t="shared" si="28"/>
        <v>2</v>
      </c>
      <c r="CH15" s="238">
        <f t="shared" si="29"/>
        <v>6.6</v>
      </c>
      <c r="CI15" s="238">
        <f t="shared" si="30"/>
        <v>5.0999999999999996</v>
      </c>
      <c r="CJ15" s="238">
        <f t="shared" si="31"/>
        <v>4.7</v>
      </c>
      <c r="CK15" s="238">
        <f t="shared" si="32"/>
        <v>7</v>
      </c>
      <c r="CL15" s="238">
        <f t="shared" si="33"/>
        <v>3.2</v>
      </c>
      <c r="CM15" s="238" t="str">
        <f t="shared" si="34"/>
        <v/>
      </c>
      <c r="CN15" s="238" t="str">
        <f t="shared" si="35"/>
        <v/>
      </c>
      <c r="CO15" s="238" t="str">
        <f t="shared" si="36"/>
        <v/>
      </c>
      <c r="CP15" s="238" t="str">
        <f t="shared" si="37"/>
        <v/>
      </c>
      <c r="CQ15" s="238">
        <f t="shared" si="38"/>
        <v>7.2</v>
      </c>
      <c r="CR15" s="238">
        <f t="shared" si="39"/>
        <v>3.5</v>
      </c>
      <c r="CS15" s="238">
        <f t="shared" si="40"/>
        <v>7</v>
      </c>
      <c r="CT15" s="240">
        <f t="shared" si="41"/>
        <v>5.47</v>
      </c>
      <c r="CU15" s="241">
        <f t="shared" si="42"/>
        <v>6.6</v>
      </c>
      <c r="CV15" s="241">
        <f t="shared" si="43"/>
        <v>5.0999999999999996</v>
      </c>
      <c r="CW15" s="241">
        <f t="shared" si="44"/>
        <v>4.7</v>
      </c>
      <c r="CX15" s="241">
        <f t="shared" si="45"/>
        <v>7</v>
      </c>
      <c r="CY15" s="241" t="str">
        <f t="shared" si="46"/>
        <v/>
      </c>
      <c r="CZ15" s="241" t="str">
        <f t="shared" si="47"/>
        <v/>
      </c>
      <c r="DA15" s="241" t="str">
        <f t="shared" si="48"/>
        <v/>
      </c>
      <c r="DB15" s="241" t="str">
        <f t="shared" si="49"/>
        <v/>
      </c>
      <c r="DC15" s="241" t="str">
        <f t="shared" si="50"/>
        <v/>
      </c>
      <c r="DD15" s="241">
        <f t="shared" si="51"/>
        <v>7.2</v>
      </c>
      <c r="DE15" s="241" t="str">
        <f t="shared" si="52"/>
        <v/>
      </c>
      <c r="DF15" s="241">
        <f t="shared" si="53"/>
        <v>7</v>
      </c>
      <c r="DG15" s="242">
        <f t="shared" si="9"/>
        <v>6.29</v>
      </c>
      <c r="DH15" s="82" t="str">
        <f t="shared" si="54"/>
        <v/>
      </c>
      <c r="DI15" s="82" t="str">
        <f t="shared" si="55"/>
        <v/>
      </c>
      <c r="DJ15" s="82" t="str">
        <f t="shared" si="56"/>
        <v/>
      </c>
      <c r="DK15" s="82" t="str">
        <f t="shared" si="57"/>
        <v/>
      </c>
      <c r="DL15" s="82" t="str">
        <f t="shared" si="58"/>
        <v/>
      </c>
      <c r="DM15" s="82" t="str">
        <f t="shared" si="59"/>
        <v/>
      </c>
      <c r="DN15" s="82" t="str">
        <f t="shared" si="60"/>
        <v/>
      </c>
      <c r="DO15" s="82" t="str">
        <f t="shared" si="61"/>
        <v/>
      </c>
      <c r="DP15" s="82" t="str">
        <f t="shared" si="62"/>
        <v/>
      </c>
      <c r="DQ15" s="82" t="str">
        <f t="shared" si="63"/>
        <v/>
      </c>
      <c r="DR15" s="82" t="str">
        <f t="shared" si="64"/>
        <v/>
      </c>
      <c r="DS15" s="253" t="str">
        <f t="shared" si="65"/>
        <v/>
      </c>
      <c r="DT15" s="250">
        <f t="shared" si="66"/>
        <v>6.6</v>
      </c>
      <c r="DU15" s="238">
        <f t="shared" si="67"/>
        <v>5.0999999999999996</v>
      </c>
      <c r="DV15" s="238">
        <f t="shared" si="68"/>
        <v>4.7</v>
      </c>
      <c r="DW15" s="238">
        <f t="shared" si="69"/>
        <v>7</v>
      </c>
      <c r="DX15" s="238">
        <f t="shared" si="70"/>
        <v>3.2</v>
      </c>
      <c r="DY15" s="238" t="str">
        <f t="shared" si="71"/>
        <v/>
      </c>
      <c r="DZ15" s="238" t="str">
        <f t="shared" si="72"/>
        <v/>
      </c>
      <c r="EA15" s="238" t="str">
        <f t="shared" si="73"/>
        <v/>
      </c>
      <c r="EB15" s="238" t="str">
        <f t="shared" si="74"/>
        <v/>
      </c>
      <c r="EC15" s="238">
        <f t="shared" si="75"/>
        <v>7.2</v>
      </c>
      <c r="ED15" s="238">
        <f t="shared" si="76"/>
        <v>3.5</v>
      </c>
      <c r="EE15" s="238">
        <f t="shared" si="77"/>
        <v>7</v>
      </c>
      <c r="EF15" s="255" t="str">
        <f t="shared" si="78"/>
        <v/>
      </c>
      <c r="EG15" s="257">
        <f t="shared" si="79"/>
        <v>6.6</v>
      </c>
      <c r="EH15" s="257">
        <f t="shared" si="80"/>
        <v>5.0999999999999996</v>
      </c>
      <c r="EI15" s="257">
        <f t="shared" si="81"/>
        <v>4.7</v>
      </c>
      <c r="EJ15" s="257">
        <f t="shared" si="82"/>
        <v>7</v>
      </c>
      <c r="EK15" s="257" t="str">
        <f t="shared" si="83"/>
        <v/>
      </c>
      <c r="EL15" s="257" t="str">
        <f t="shared" si="84"/>
        <v/>
      </c>
      <c r="EM15" s="257" t="str">
        <f t="shared" si="85"/>
        <v/>
      </c>
      <c r="EN15" s="257" t="str">
        <f t="shared" si="86"/>
        <v/>
      </c>
      <c r="EO15" s="257" t="str">
        <f t="shared" si="87"/>
        <v/>
      </c>
      <c r="EP15" s="257">
        <f t="shared" si="88"/>
        <v>7.2</v>
      </c>
      <c r="EQ15" s="257" t="str">
        <f t="shared" si="89"/>
        <v/>
      </c>
      <c r="ER15" s="257">
        <f t="shared" si="90"/>
        <v>7</v>
      </c>
      <c r="ES15" s="262">
        <f t="shared" si="10"/>
        <v>6.29</v>
      </c>
      <c r="ET15" s="307">
        <f t="shared" si="91"/>
        <v>5.47</v>
      </c>
    </row>
    <row r="16" spans="1:161" s="89" customFormat="1" ht="30" customHeight="1">
      <c r="A16" s="272">
        <f>IF($B16="","",SUBTOTAL(3,$B$11:B16))</f>
        <v>6</v>
      </c>
      <c r="B16" s="457" t="s">
        <v>1557</v>
      </c>
      <c r="C16" s="76" t="str">
        <f>IF($B16="","",VLOOKUP($B16,'DS LOP HKI'!$B$2:$D$951,2,0))</f>
        <v>Nguyễn Chí</v>
      </c>
      <c r="D16" s="77" t="str">
        <f>IF($B16="","",VLOOKUP($B16,'DS LOP HKI'!$B$2:$D$951,3,0))</f>
        <v>Bình</v>
      </c>
      <c r="E16" s="78"/>
      <c r="F16" s="79"/>
      <c r="G16" s="80">
        <v>2</v>
      </c>
      <c r="H16" s="81">
        <f>IF(OR($H$6="",$H$7=""),"",IF($B16="","",IF(ISNA(VLOOKUP($B16,'LT01'!$B$11:$M$80,12,FALSE)),"",IF(VLOOKUP($B16,'LT01'!$B$11:$M$80,12,FALSE)="","",VLOOKUP($B16,'LT01'!$B$11:$M$80,12,FALSE)))))</f>
        <v>7</v>
      </c>
      <c r="I16" s="82">
        <f>IF(OR($H$6="",$H$7=""),"",IF($B16="","",IF(ISNA(VLOOKUP($B16,'LT01'!$B$11:$N$80,13,FALSE)),"",VLOOKUP($B16,'LT01'!$B$11:$N$80,13,FALSE))))</f>
        <v>6.7</v>
      </c>
      <c r="J16" s="83"/>
      <c r="K16" s="84" t="str">
        <f>IF(OR($H$6="",$H$7=""),"",IF($B16="","",IF(ISNA(VLOOKUP($B16,'LT01'!$B$11:$Q$80,16,FALSE)),"",IF(VLOOKUP($B16,'LT01'!$B$11:$Q$80,16,FALSE)="","",VLOOKUP($B16,'LT01'!$B$11:$Q$80,16,FALSE)))))</f>
        <v/>
      </c>
      <c r="L16" s="85">
        <f>IF(OR($L$6="",$L$7=""),"",IF($B16="","",IF(ISNA(VLOOKUP($B16,'LT02'!$B$11:$M$80,12,FALSE)),"",IF(VLOOKUP($B16,'LT02'!$B$11:$M$80,12,FALSE)="","",VLOOKUP($B16,'LT02'!$B$11:$M$80,12,FALSE)))))</f>
        <v>4.5</v>
      </c>
      <c r="M16" s="82">
        <f>IF(OR($L$6="",$L$7=""),"",IF($B16="","",IF(ISNA(VLOOKUP($B16,'LT02'!$B$11:$N$80,13,FALSE)),"",VLOOKUP($B16,'LT02'!$B$11:$N$80,13,FALSE))))</f>
        <v>4.5999999999999996</v>
      </c>
      <c r="N16" s="83"/>
      <c r="O16" s="84" t="str">
        <f>IF(OR($L$6="",$L$7=""),"",IF($B16="","",IF(ISNA(VLOOKUP($B16,'LT02'!$B$11:$Q$80,16,FALSE)),"",VLOOKUP($B16,'LT02'!$B$11:$Q$80,16,FALSE))))</f>
        <v/>
      </c>
      <c r="P16" s="85">
        <f>IF(OR($P$6="",$P$7=""),"",IF($B16="","",IF(ISNA(VLOOKUP($B16,'LT03'!$B$11:$M$80,12,FALSE)),"",IF(VLOOKUP($B16,'LT03'!$B$11:$M$80,12,FALSE)="","",VLOOKUP($B16,'LT03'!$B$11:$M$80,12,FALSE)))))</f>
        <v>4</v>
      </c>
      <c r="Q16" s="82">
        <f>IF(OR($P$6="",$P$7=""),"",IF($B16="","",IF(ISNA(VLOOKUP($B16,'LT03'!$B$11:$N$80,13,FALSE)),"",VLOOKUP($B16,'LT03'!$B$11:$N$80,13,FALSE))))</f>
        <v>4.9000000000000004</v>
      </c>
      <c r="R16" s="83"/>
      <c r="S16" s="84" t="str">
        <f>IF(OR($P$6="",$P$7=""),"",IF($B16="","",IF(ISNA(VLOOKUP($B16,'LT03'!$B$11:$Q$80,16,FALSE)),"",VLOOKUP($B16,'LT03'!$B$11:$Q$80,16,FALSE))))</f>
        <v/>
      </c>
      <c r="T16" s="85">
        <f>IF(OR($T$6="",$T$7=""),"",IF($B16="","",IF(ISNA(VLOOKUP($B16,'LT04'!$B$11:$M$80,12,FALSE)),"",IF(VLOOKUP($B16,'LT04'!$B$11:$M$80,12,FALSE)="","",VLOOKUP($B16,'LT04'!$B$11:$M$80,12,FALSE)))))</f>
        <v>5.5</v>
      </c>
      <c r="U16" s="82">
        <f>IF(OR($T$6="",$T$7=""),"",IF($B16="","",IF(ISNA(VLOOKUP($B16,'LT04'!$B$11:$N$80,13,FALSE)),"",VLOOKUP($B16,'LT04'!$B$11:$N$80,13,FALSE))))</f>
        <v>6.4</v>
      </c>
      <c r="V16" s="83"/>
      <c r="W16" s="84" t="str">
        <f>IF(OR($T$6="",$T$7=""),"",IF($B16="","",IF(ISNA(VLOOKUP($B16,'LT04'!$B$11:$Q$80,16,FALSE)),"",VLOOKUP($B16,'LT04'!$B$11:$Q$80,16,FALSE))))</f>
        <v/>
      </c>
      <c r="X16" s="85">
        <f>IF(OR($X$6="",$X$7=""),"",IF($B16="","",IF(ISNA(VLOOKUP($B16,'LT05'!$B$11:$M$80,12,FALSE)),"",IF(VLOOKUP($B16,'LT05'!$B$11:$M$80,12,FALSE)="","",VLOOKUP($B16,'LT05'!$B$11:$M$80,12,FALSE)))))</f>
        <v>1.3</v>
      </c>
      <c r="Y16" s="82">
        <f>IF(OR($X$6="",$X$7=""),"",IF($B16="","",IF(ISNA(VLOOKUP($B16,'LT05'!$B$11:$N$80,13,FALSE)),"",VLOOKUP($B16,'LT05'!$B$11:$N$80,13,FALSE))))</f>
        <v>2.5</v>
      </c>
      <c r="Z16" s="83"/>
      <c r="AA16" s="84" t="str">
        <f>IF(OR($X$6="",$X$7=""),"",IF($B16="","",IF(ISNA(VLOOKUP($B16,'LT05'!$B$11:$Q$80,16,FALSE)),"",VLOOKUP($B16,'LT05'!$B$11:$Q$80,16,FALSE))))</f>
        <v/>
      </c>
      <c r="AB16" s="85" t="str">
        <f>IF(OR($AB$6="",$AB$7=""),"",IF($B16="","",IF(ISNA(VLOOKUP($B16,'LT06'!$B$11:$M$80,12,FALSE)),"",IF(VLOOKUP($B16,'LT06'!$B$11:$M$80,12,FALSE)="","",VLOOKUP($B16,'LT06'!$B$11:$M$80,12,FALSE)))))</f>
        <v/>
      </c>
      <c r="AC16" s="82" t="str">
        <f>IF(OR($AB$6="",$AB$7=""),"",IF($B16="","",IF(ISNA(VLOOKUP($B16,'LT06'!$B$11:$N$80,13,FALSE)),"",VLOOKUP($B16,'LT06'!$B$11:$N$80,13,FALSE))))</f>
        <v/>
      </c>
      <c r="AD16" s="83"/>
      <c r="AE16" s="84" t="str">
        <f>IF(OR($AB$6="",$AB$7=""),"",IF($B16="","",IF(ISNA(VLOOKUP($B16,'LT06'!$B$11:$Q$80,16,FALSE)),"",VLOOKUP($B16,'LT06'!$B$11:$Q$80,16,FALSE))))</f>
        <v/>
      </c>
      <c r="AF16" s="85" t="str">
        <f>IF(OR($AF$6="",$AF$7=""),"",IF($B16="","",IF(ISNA(VLOOKUP($B16,'LT07'!$B$11:$M$80,12,FALSE)),"",IF(VLOOKUP($B16,'LT07'!$B$11:$M$80,12,FALSE)="","",VLOOKUP($B16,'LT07'!$B$11:$M$80,12,FALSE)))))</f>
        <v/>
      </c>
      <c r="AG16" s="82" t="str">
        <f>IF(OR($AF$6="",$AF$7=""),"",IF($B16="","",IF(ISNA(VLOOKUP($B16,'LT07'!$B$11:$N$80,13,FALSE)),"",VLOOKUP($B16,'LT07'!$B$11:$N$80,13,FALSE))))</f>
        <v/>
      </c>
      <c r="AH16" s="83"/>
      <c r="AI16" s="84" t="str">
        <f>IF(OR($AF$6="",$AF$7=""),"",IF($B16="","",IF(ISNA(VLOOKUP($B16,'LT07'!$B$11:$Q$80,16,FALSE)),"",VLOOKUP($B16,'LT07'!$B$11:$Q$80,16,FALSE))))</f>
        <v/>
      </c>
      <c r="AJ16" s="304"/>
      <c r="AK16" s="82" t="str">
        <f>IF(OR($AJ$6="",$AJ$7=""),"",IF($B16="","",IF(ISNA(VLOOKUP($B16,'DO AN'!$B$11:$L$80,11,FALSE)),"",IF(VLOOKUP($B16,'DO AN'!$B$11:$L$80,11,FALSE)="","",VLOOKUP($B16,'DO AN'!$B$11:$L$80,11,FALSE)))))</f>
        <v/>
      </c>
      <c r="AL16" s="83"/>
      <c r="AM16" s="451"/>
      <c r="AN16" s="83"/>
      <c r="AO16" s="82" t="str">
        <f>IF(OR($AN$6="",$AN$7=""),"",IF($B16="","",IF(ISNA(VLOOKUP($B16,'DO AN 2'!$B$11:$L$80,11,FALSE)),"",IF(VLOOKUP($B16,'DO AN 2'!$B$11:$L$80,11,FALSE)="","",VLOOKUP($B16,'DO AN 2'!$B$11:$L$80,11,FALSE)))))</f>
        <v/>
      </c>
      <c r="AP16" s="83"/>
      <c r="AQ16" s="83"/>
      <c r="AR16" s="454"/>
      <c r="AS16" s="82">
        <f>IF(OR($AR$6="",$AR$7=""),"",IF($B16="","",IF(ISNA(VLOOKUP($B16,'TH01'!$B$11:$O$80,14,FALSE)),"",VLOOKUP($B16,'TH01'!$B$11:$O$80,14,FALSE))))</f>
        <v>5.4</v>
      </c>
      <c r="AT16" s="83"/>
      <c r="AU16" s="303"/>
      <c r="AV16" s="304"/>
      <c r="AW16" s="82">
        <f>IF(OR($AV$6="",$AV$7=""),"",IF($B16="","",IF(ISNA(VLOOKUP($B16,'TH02'!$B$11:$O$80,14,FALSE)),"",VLOOKUP($B16,'TH02'!$B$11:$O$80,14,FALSE))))</f>
        <v>5</v>
      </c>
      <c r="AX16" s="83"/>
      <c r="AY16" s="303"/>
      <c r="AZ16" s="304"/>
      <c r="BA16" s="82">
        <f>IF(OR($AZ$6="",$AZ$7=""),"",IF($B16="","",IF(ISNA(VLOOKUP($B16,'TH03'!$B$11:$O$80,14,FALSE)),"",VLOOKUP($B16,'TH03'!$B$11:$O$80,14,FALSE))))</f>
        <v>7</v>
      </c>
      <c r="BB16" s="83"/>
      <c r="BC16" s="303"/>
      <c r="BD16" s="86">
        <f t="shared" si="11"/>
        <v>5.23</v>
      </c>
      <c r="BE16" s="86" t="str">
        <f t="shared" si="12"/>
        <v/>
      </c>
      <c r="BF16" s="87">
        <v>58</v>
      </c>
      <c r="BG16" s="88" t="str">
        <f t="shared" si="0"/>
        <v>TB Yếu</v>
      </c>
      <c r="BH16" s="88" t="str">
        <f t="shared" si="1"/>
        <v/>
      </c>
      <c r="BI16" s="87"/>
      <c r="BJ16" s="86" t="str">
        <f t="shared" si="2"/>
        <v/>
      </c>
      <c r="BK16" s="265">
        <f t="shared" si="3"/>
        <v>15</v>
      </c>
      <c r="BL16" s="88">
        <f t="shared" si="4"/>
        <v>3</v>
      </c>
      <c r="BM16" s="88">
        <f t="shared" si="5"/>
        <v>15</v>
      </c>
      <c r="BN16" s="88">
        <f t="shared" si="6"/>
        <v>3</v>
      </c>
      <c r="BO16" s="86">
        <f t="shared" si="13"/>
        <v>5.78</v>
      </c>
      <c r="BP16" s="86" t="str">
        <f t="shared" si="7"/>
        <v>BT</v>
      </c>
      <c r="BQ16" s="86">
        <f t="shared" si="14"/>
        <v>5.78</v>
      </c>
      <c r="BR16" s="86" t="str">
        <f t="shared" si="8"/>
        <v>BT</v>
      </c>
      <c r="BS16" s="87"/>
      <c r="BT16" s="276">
        <f t="shared" si="15"/>
        <v>3</v>
      </c>
      <c r="BU16" s="238">
        <f t="shared" si="16"/>
        <v>7</v>
      </c>
      <c r="BV16" s="238">
        <f t="shared" si="17"/>
        <v>4.5</v>
      </c>
      <c r="BW16" s="238">
        <f t="shared" si="18"/>
        <v>4</v>
      </c>
      <c r="BX16" s="238">
        <f t="shared" si="19"/>
        <v>5.5</v>
      </c>
      <c r="BY16" s="238">
        <f t="shared" si="20"/>
        <v>1.3</v>
      </c>
      <c r="BZ16" s="238" t="str">
        <f t="shared" si="21"/>
        <v/>
      </c>
      <c r="CA16" s="238" t="str">
        <f t="shared" si="22"/>
        <v/>
      </c>
      <c r="CB16" s="238" t="str">
        <f t="shared" si="23"/>
        <v/>
      </c>
      <c r="CC16" s="238" t="str">
        <f t="shared" si="24"/>
        <v/>
      </c>
      <c r="CD16" s="238">
        <f t="shared" si="25"/>
        <v>5.4</v>
      </c>
      <c r="CE16" s="238">
        <f t="shared" si="26"/>
        <v>5</v>
      </c>
      <c r="CF16" s="238">
        <f t="shared" si="27"/>
        <v>7</v>
      </c>
      <c r="CG16" s="239">
        <f t="shared" si="28"/>
        <v>1</v>
      </c>
      <c r="CH16" s="238">
        <f t="shared" si="29"/>
        <v>6.7</v>
      </c>
      <c r="CI16" s="238">
        <f t="shared" si="30"/>
        <v>4.5999999999999996</v>
      </c>
      <c r="CJ16" s="238">
        <f t="shared" si="31"/>
        <v>4.9000000000000004</v>
      </c>
      <c r="CK16" s="238">
        <f t="shared" si="32"/>
        <v>6.4</v>
      </c>
      <c r="CL16" s="238">
        <f t="shared" si="33"/>
        <v>2.5</v>
      </c>
      <c r="CM16" s="238" t="str">
        <f t="shared" si="34"/>
        <v/>
      </c>
      <c r="CN16" s="238" t="str">
        <f t="shared" si="35"/>
        <v/>
      </c>
      <c r="CO16" s="238" t="str">
        <f t="shared" si="36"/>
        <v/>
      </c>
      <c r="CP16" s="238" t="str">
        <f t="shared" si="37"/>
        <v/>
      </c>
      <c r="CQ16" s="238">
        <f t="shared" si="38"/>
        <v>5.4</v>
      </c>
      <c r="CR16" s="238">
        <f t="shared" si="39"/>
        <v>5</v>
      </c>
      <c r="CS16" s="238">
        <f t="shared" si="40"/>
        <v>7</v>
      </c>
      <c r="CT16" s="240">
        <f t="shared" si="41"/>
        <v>5.23</v>
      </c>
      <c r="CU16" s="241">
        <f t="shared" si="42"/>
        <v>6.7</v>
      </c>
      <c r="CV16" s="241">
        <f t="shared" si="43"/>
        <v>4.5999999999999996</v>
      </c>
      <c r="CW16" s="241">
        <f t="shared" si="44"/>
        <v>4.9000000000000004</v>
      </c>
      <c r="CX16" s="241">
        <f t="shared" si="45"/>
        <v>6.4</v>
      </c>
      <c r="CY16" s="241" t="str">
        <f t="shared" si="46"/>
        <v/>
      </c>
      <c r="CZ16" s="241" t="str">
        <f t="shared" si="47"/>
        <v/>
      </c>
      <c r="DA16" s="241" t="str">
        <f t="shared" si="48"/>
        <v/>
      </c>
      <c r="DB16" s="241" t="str">
        <f t="shared" si="49"/>
        <v/>
      </c>
      <c r="DC16" s="241" t="str">
        <f t="shared" si="50"/>
        <v/>
      </c>
      <c r="DD16" s="241">
        <f t="shared" si="51"/>
        <v>5.4</v>
      </c>
      <c r="DE16" s="241">
        <f t="shared" si="52"/>
        <v>5</v>
      </c>
      <c r="DF16" s="241">
        <f t="shared" si="53"/>
        <v>7</v>
      </c>
      <c r="DG16" s="242">
        <f t="shared" si="9"/>
        <v>5.78</v>
      </c>
      <c r="DH16" s="82" t="str">
        <f t="shared" si="54"/>
        <v/>
      </c>
      <c r="DI16" s="82" t="str">
        <f t="shared" si="55"/>
        <v/>
      </c>
      <c r="DJ16" s="82" t="str">
        <f t="shared" si="56"/>
        <v/>
      </c>
      <c r="DK16" s="82" t="str">
        <f t="shared" si="57"/>
        <v/>
      </c>
      <c r="DL16" s="82" t="str">
        <f t="shared" si="58"/>
        <v/>
      </c>
      <c r="DM16" s="82" t="str">
        <f t="shared" si="59"/>
        <v/>
      </c>
      <c r="DN16" s="82" t="str">
        <f t="shared" si="60"/>
        <v/>
      </c>
      <c r="DO16" s="82" t="str">
        <f t="shared" si="61"/>
        <v/>
      </c>
      <c r="DP16" s="82" t="str">
        <f t="shared" si="62"/>
        <v/>
      </c>
      <c r="DQ16" s="82" t="str">
        <f t="shared" si="63"/>
        <v/>
      </c>
      <c r="DR16" s="82" t="str">
        <f t="shared" si="64"/>
        <v/>
      </c>
      <c r="DS16" s="253" t="str">
        <f t="shared" si="65"/>
        <v/>
      </c>
      <c r="DT16" s="250">
        <f t="shared" si="66"/>
        <v>6.7</v>
      </c>
      <c r="DU16" s="238">
        <f t="shared" si="67"/>
        <v>4.5999999999999996</v>
      </c>
      <c r="DV16" s="238">
        <f t="shared" si="68"/>
        <v>4.9000000000000004</v>
      </c>
      <c r="DW16" s="238">
        <f t="shared" si="69"/>
        <v>6.4</v>
      </c>
      <c r="DX16" s="238">
        <f t="shared" si="70"/>
        <v>2.5</v>
      </c>
      <c r="DY16" s="238" t="str">
        <f t="shared" si="71"/>
        <v/>
      </c>
      <c r="DZ16" s="238" t="str">
        <f t="shared" si="72"/>
        <v/>
      </c>
      <c r="EA16" s="238" t="str">
        <f t="shared" si="73"/>
        <v/>
      </c>
      <c r="EB16" s="238" t="str">
        <f t="shared" si="74"/>
        <v/>
      </c>
      <c r="EC16" s="238">
        <f t="shared" si="75"/>
        <v>5.4</v>
      </c>
      <c r="ED16" s="238">
        <f t="shared" si="76"/>
        <v>5</v>
      </c>
      <c r="EE16" s="238">
        <f t="shared" si="77"/>
        <v>7</v>
      </c>
      <c r="EF16" s="255" t="str">
        <f t="shared" si="78"/>
        <v/>
      </c>
      <c r="EG16" s="257">
        <f t="shared" si="79"/>
        <v>6.7</v>
      </c>
      <c r="EH16" s="257">
        <f t="shared" si="80"/>
        <v>4.5999999999999996</v>
      </c>
      <c r="EI16" s="257">
        <f t="shared" si="81"/>
        <v>4.9000000000000004</v>
      </c>
      <c r="EJ16" s="257">
        <f t="shared" si="82"/>
        <v>6.4</v>
      </c>
      <c r="EK16" s="257" t="str">
        <f t="shared" si="83"/>
        <v/>
      </c>
      <c r="EL16" s="257" t="str">
        <f t="shared" si="84"/>
        <v/>
      </c>
      <c r="EM16" s="257" t="str">
        <f t="shared" si="85"/>
        <v/>
      </c>
      <c r="EN16" s="257" t="str">
        <f t="shared" si="86"/>
        <v/>
      </c>
      <c r="EO16" s="257" t="str">
        <f t="shared" si="87"/>
        <v/>
      </c>
      <c r="EP16" s="257">
        <f t="shared" si="88"/>
        <v>5.4</v>
      </c>
      <c r="EQ16" s="257">
        <f t="shared" si="89"/>
        <v>5</v>
      </c>
      <c r="ER16" s="257">
        <f t="shared" si="90"/>
        <v>7</v>
      </c>
      <c r="ES16" s="262">
        <f t="shared" si="10"/>
        <v>5.78</v>
      </c>
      <c r="ET16" s="307">
        <f t="shared" si="91"/>
        <v>5.23</v>
      </c>
    </row>
    <row r="17" spans="1:150" s="89" customFormat="1" ht="30" customHeight="1">
      <c r="A17" s="272">
        <f>IF($B17="","",SUBTOTAL(3,$B$11:B17))</f>
        <v>7</v>
      </c>
      <c r="B17" s="457" t="s">
        <v>1802</v>
      </c>
      <c r="C17" s="76" t="str">
        <f>IF($B17="","",VLOOKUP($B17,'DS LOP HKI'!$B$2:$D$951,2,0))</f>
        <v>Vũ Văn</v>
      </c>
      <c r="D17" s="77" t="str">
        <f>IF($B17="","",VLOOKUP($B17,'DS LOP HKI'!$B$2:$D$951,3,0))</f>
        <v>Chiến</v>
      </c>
      <c r="E17" s="78"/>
      <c r="F17" s="79"/>
      <c r="G17" s="80"/>
      <c r="H17" s="81">
        <f>IF(OR($H$6="",$H$7=""),"",IF($B17="","",IF(ISNA(VLOOKUP($B17,'LT01'!$B$11:$M$80,12,FALSE)),"",IF(VLOOKUP($B17,'LT01'!$B$11:$M$80,12,FALSE)="","",VLOOKUP($B17,'LT01'!$B$11:$M$80,12,FALSE)))))</f>
        <v>7.3</v>
      </c>
      <c r="I17" s="82">
        <f>IF(OR($H$6="",$H$7=""),"",IF($B17="","",IF(ISNA(VLOOKUP($B17,'LT01'!$B$11:$N$80,13,FALSE)),"",VLOOKUP($B17,'LT01'!$B$11:$N$80,13,FALSE))))</f>
        <v>6.6</v>
      </c>
      <c r="J17" s="83"/>
      <c r="K17" s="84" t="str">
        <f>IF(OR($H$6="",$H$7=""),"",IF($B17="","",IF(ISNA(VLOOKUP($B17,'LT01'!$B$11:$Q$80,16,FALSE)),"",IF(VLOOKUP($B17,'LT01'!$B$11:$Q$80,16,FALSE)="","",VLOOKUP($B17,'LT01'!$B$11:$Q$80,16,FALSE)))))</f>
        <v/>
      </c>
      <c r="L17" s="85">
        <f>IF(OR($L$6="",$L$7=""),"",IF($B17="","",IF(ISNA(VLOOKUP($B17,'LT02'!$B$11:$M$80,12,FALSE)),"",IF(VLOOKUP($B17,'LT02'!$B$11:$M$80,12,FALSE)="","",VLOOKUP($B17,'LT02'!$B$11:$M$80,12,FALSE)))))</f>
        <v>5.3</v>
      </c>
      <c r="M17" s="82">
        <f>IF(OR($L$6="",$L$7=""),"",IF($B17="","",IF(ISNA(VLOOKUP($B17,'LT02'!$B$11:$N$80,13,FALSE)),"",VLOOKUP($B17,'LT02'!$B$11:$N$80,13,FALSE))))</f>
        <v>5.9</v>
      </c>
      <c r="N17" s="83"/>
      <c r="O17" s="84" t="str">
        <f>IF(OR($L$6="",$L$7=""),"",IF($B17="","",IF(ISNA(VLOOKUP($B17,'LT02'!$B$11:$Q$80,16,FALSE)),"",VLOOKUP($B17,'LT02'!$B$11:$Q$80,16,FALSE))))</f>
        <v/>
      </c>
      <c r="P17" s="85">
        <f>IF(OR($P$6="",$P$7=""),"",IF($B17="","",IF(ISNA(VLOOKUP($B17,'LT03'!$B$11:$M$80,12,FALSE)),"",IF(VLOOKUP($B17,'LT03'!$B$11:$M$80,12,FALSE)="","",VLOOKUP($B17,'LT03'!$B$11:$M$80,12,FALSE)))))</f>
        <v>5.5</v>
      </c>
      <c r="Q17" s="82">
        <f>IF(OR($P$6="",$P$7=""),"",IF($B17="","",IF(ISNA(VLOOKUP($B17,'LT03'!$B$11:$N$80,13,FALSE)),"",VLOOKUP($B17,'LT03'!$B$11:$N$80,13,FALSE))))</f>
        <v>5.5</v>
      </c>
      <c r="R17" s="83"/>
      <c r="S17" s="84" t="str">
        <f>IF(OR($P$6="",$P$7=""),"",IF($B17="","",IF(ISNA(VLOOKUP($B17,'LT03'!$B$11:$Q$80,16,FALSE)),"",VLOOKUP($B17,'LT03'!$B$11:$Q$80,16,FALSE))))</f>
        <v/>
      </c>
      <c r="T17" s="85">
        <f>IF(OR($T$6="",$T$7=""),"",IF($B17="","",IF(ISNA(VLOOKUP($B17,'LT04'!$B$11:$M$80,12,FALSE)),"",IF(VLOOKUP($B17,'LT04'!$B$11:$M$80,12,FALSE)="","",VLOOKUP($B17,'LT04'!$B$11:$M$80,12,FALSE)))))</f>
        <v>5.5</v>
      </c>
      <c r="U17" s="82">
        <f>IF(OR($T$6="",$T$7=""),"",IF($B17="","",IF(ISNA(VLOOKUP($B17,'LT04'!$B$11:$N$80,13,FALSE)),"",VLOOKUP($B17,'LT04'!$B$11:$N$80,13,FALSE))))</f>
        <v>6.3</v>
      </c>
      <c r="V17" s="83"/>
      <c r="W17" s="84" t="str">
        <f>IF(OR($T$6="",$T$7=""),"",IF($B17="","",IF(ISNA(VLOOKUP($B17,'LT04'!$B$11:$Q$80,16,FALSE)),"",VLOOKUP($B17,'LT04'!$B$11:$Q$80,16,FALSE))))</f>
        <v/>
      </c>
      <c r="X17" s="85">
        <f>IF(OR($X$6="",$X$7=""),"",IF($B17="","",IF(ISNA(VLOOKUP($B17,'LT05'!$B$11:$M$80,12,FALSE)),"",IF(VLOOKUP($B17,'LT05'!$B$11:$M$80,12,FALSE)="","",VLOOKUP($B17,'LT05'!$B$11:$M$80,12,FALSE)))))</f>
        <v>2.2999999999999998</v>
      </c>
      <c r="Y17" s="82">
        <f>IF(OR($X$6="",$X$7=""),"",IF($B17="","",IF(ISNA(VLOOKUP($B17,'LT05'!$B$11:$N$80,13,FALSE)),"",VLOOKUP($B17,'LT05'!$B$11:$N$80,13,FALSE))))</f>
        <v>3.1</v>
      </c>
      <c r="Z17" s="83"/>
      <c r="AA17" s="84" t="str">
        <f>IF(OR($X$6="",$X$7=""),"",IF($B17="","",IF(ISNA(VLOOKUP($B17,'LT05'!$B$11:$Q$80,16,FALSE)),"",VLOOKUP($B17,'LT05'!$B$11:$Q$80,16,FALSE))))</f>
        <v/>
      </c>
      <c r="AB17" s="85" t="str">
        <f>IF(OR($AB$6="",$AB$7=""),"",IF($B17="","",IF(ISNA(VLOOKUP($B17,'LT06'!$B$11:$M$80,12,FALSE)),"",IF(VLOOKUP($B17,'LT06'!$B$11:$M$80,12,FALSE)="","",VLOOKUP($B17,'LT06'!$B$11:$M$80,12,FALSE)))))</f>
        <v/>
      </c>
      <c r="AC17" s="82" t="str">
        <f>IF(OR($AB$6="",$AB$7=""),"",IF($B17="","",IF(ISNA(VLOOKUP($B17,'LT06'!$B$11:$N$80,13,FALSE)),"",VLOOKUP($B17,'LT06'!$B$11:$N$80,13,FALSE))))</f>
        <v/>
      </c>
      <c r="AD17" s="83"/>
      <c r="AE17" s="84" t="str">
        <f>IF(OR($AB$6="",$AB$7=""),"",IF($B17="","",IF(ISNA(VLOOKUP($B17,'LT06'!$B$11:$Q$80,16,FALSE)),"",VLOOKUP($B17,'LT06'!$B$11:$Q$80,16,FALSE))))</f>
        <v/>
      </c>
      <c r="AF17" s="85" t="str">
        <f>IF(OR($AF$6="",$AF$7=""),"",IF($B17="","",IF(ISNA(VLOOKUP($B17,'LT07'!$B$11:$M$80,12,FALSE)),"",IF(VLOOKUP($B17,'LT07'!$B$11:$M$80,12,FALSE)="","",VLOOKUP($B17,'LT07'!$B$11:$M$80,12,FALSE)))))</f>
        <v/>
      </c>
      <c r="AG17" s="82" t="str">
        <f>IF(OR($AF$6="",$AF$7=""),"",IF($B17="","",IF(ISNA(VLOOKUP($B17,'LT07'!$B$11:$N$80,13,FALSE)),"",VLOOKUP($B17,'LT07'!$B$11:$N$80,13,FALSE))))</f>
        <v/>
      </c>
      <c r="AH17" s="83"/>
      <c r="AI17" s="84" t="str">
        <f>IF(OR($AF$6="",$AF$7=""),"",IF($B17="","",IF(ISNA(VLOOKUP($B17,'LT07'!$B$11:$Q$80,16,FALSE)),"",VLOOKUP($B17,'LT07'!$B$11:$Q$80,16,FALSE))))</f>
        <v/>
      </c>
      <c r="AJ17" s="304"/>
      <c r="AK17" s="82" t="str">
        <f>IF(OR($AJ$6="",$AJ$7=""),"",IF($B17="","",IF(ISNA(VLOOKUP($B17,'DO AN'!$B$11:$L$80,11,FALSE)),"",IF(VLOOKUP($B17,'DO AN'!$B$11:$L$80,11,FALSE)="","",VLOOKUP($B17,'DO AN'!$B$11:$L$80,11,FALSE)))))</f>
        <v/>
      </c>
      <c r="AL17" s="83"/>
      <c r="AM17" s="451"/>
      <c r="AN17" s="83"/>
      <c r="AO17" s="82" t="str">
        <f>IF(OR($AN$6="",$AN$7=""),"",IF($B17="","",IF(ISNA(VLOOKUP($B17,'DO AN 2'!$B$11:$L$80,11,FALSE)),"",IF(VLOOKUP($B17,'DO AN 2'!$B$11:$L$80,11,FALSE)="","",VLOOKUP($B17,'DO AN 2'!$B$11:$L$80,11,FALSE)))))</f>
        <v/>
      </c>
      <c r="AP17" s="83"/>
      <c r="AQ17" s="83"/>
      <c r="AR17" s="454"/>
      <c r="AS17" s="82">
        <f>IF(OR($AR$6="",$AR$7=""),"",IF($B17="","",IF(ISNA(VLOOKUP($B17,'TH01'!$B$11:$O$80,14,FALSE)),"",VLOOKUP($B17,'TH01'!$B$11:$O$80,14,FALSE))))</f>
        <v>6.6</v>
      </c>
      <c r="AT17" s="83"/>
      <c r="AU17" s="303"/>
      <c r="AV17" s="304"/>
      <c r="AW17" s="82">
        <f>IF(OR($AV$6="",$AV$7=""),"",IF($B17="","",IF(ISNA(VLOOKUP($B17,'TH02'!$B$11:$O$80,14,FALSE)),"",VLOOKUP($B17,'TH02'!$B$11:$O$80,14,FALSE))))</f>
        <v>4.5</v>
      </c>
      <c r="AX17" s="83"/>
      <c r="AY17" s="303"/>
      <c r="AZ17" s="304"/>
      <c r="BA17" s="82">
        <f>IF(OR($AZ$6="",$AZ$7=""),"",IF($B17="","",IF(ISNA(VLOOKUP($B17,'TH03'!$B$11:$O$80,14,FALSE)),"",VLOOKUP($B17,'TH03'!$B$11:$O$80,14,FALSE))))</f>
        <v>6.8</v>
      </c>
      <c r="BB17" s="83"/>
      <c r="BC17" s="303"/>
      <c r="BD17" s="86">
        <f t="shared" si="11"/>
        <v>5.57</v>
      </c>
      <c r="BE17" s="86" t="str">
        <f t="shared" si="12"/>
        <v/>
      </c>
      <c r="BF17" s="87">
        <v>60</v>
      </c>
      <c r="BG17" s="88" t="str">
        <f t="shared" si="0"/>
        <v>T.Bình</v>
      </c>
      <c r="BH17" s="88" t="str">
        <f t="shared" si="1"/>
        <v/>
      </c>
      <c r="BI17" s="87"/>
      <c r="BJ17" s="86" t="str">
        <f t="shared" si="2"/>
        <v/>
      </c>
      <c r="BK17" s="265">
        <f t="shared" si="3"/>
        <v>15</v>
      </c>
      <c r="BL17" s="88">
        <f t="shared" si="4"/>
        <v>3</v>
      </c>
      <c r="BM17" s="88">
        <f t="shared" si="5"/>
        <v>15</v>
      </c>
      <c r="BN17" s="88">
        <f t="shared" si="6"/>
        <v>3</v>
      </c>
      <c r="BO17" s="86">
        <f t="shared" si="13"/>
        <v>6.07</v>
      </c>
      <c r="BP17" s="86" t="str">
        <f t="shared" si="7"/>
        <v>BT</v>
      </c>
      <c r="BQ17" s="86">
        <f t="shared" si="14"/>
        <v>6.07</v>
      </c>
      <c r="BR17" s="86" t="str">
        <f t="shared" si="8"/>
        <v>BT</v>
      </c>
      <c r="BS17" s="87"/>
      <c r="BT17" s="276">
        <f t="shared" si="15"/>
        <v>2</v>
      </c>
      <c r="BU17" s="238">
        <f t="shared" si="16"/>
        <v>7.3</v>
      </c>
      <c r="BV17" s="238">
        <f t="shared" si="17"/>
        <v>5.3</v>
      </c>
      <c r="BW17" s="238">
        <f t="shared" si="18"/>
        <v>5.5</v>
      </c>
      <c r="BX17" s="238">
        <f t="shared" si="19"/>
        <v>5.5</v>
      </c>
      <c r="BY17" s="238">
        <f t="shared" si="20"/>
        <v>2.2999999999999998</v>
      </c>
      <c r="BZ17" s="238" t="str">
        <f t="shared" si="21"/>
        <v/>
      </c>
      <c r="CA17" s="238" t="str">
        <f t="shared" si="22"/>
        <v/>
      </c>
      <c r="CB17" s="238" t="str">
        <f t="shared" si="23"/>
        <v/>
      </c>
      <c r="CC17" s="238" t="str">
        <f t="shared" si="24"/>
        <v/>
      </c>
      <c r="CD17" s="238">
        <f t="shared" si="25"/>
        <v>6.6</v>
      </c>
      <c r="CE17" s="238">
        <f t="shared" si="26"/>
        <v>4.5</v>
      </c>
      <c r="CF17" s="238">
        <f t="shared" si="27"/>
        <v>6.8</v>
      </c>
      <c r="CG17" s="239">
        <f t="shared" si="28"/>
        <v>1</v>
      </c>
      <c r="CH17" s="238">
        <f t="shared" si="29"/>
        <v>6.6</v>
      </c>
      <c r="CI17" s="238">
        <f t="shared" si="30"/>
        <v>5.9</v>
      </c>
      <c r="CJ17" s="238">
        <f t="shared" si="31"/>
        <v>5.5</v>
      </c>
      <c r="CK17" s="238">
        <f t="shared" si="32"/>
        <v>6.3</v>
      </c>
      <c r="CL17" s="238">
        <f t="shared" si="33"/>
        <v>3.1</v>
      </c>
      <c r="CM17" s="238" t="str">
        <f t="shared" si="34"/>
        <v/>
      </c>
      <c r="CN17" s="238" t="str">
        <f t="shared" si="35"/>
        <v/>
      </c>
      <c r="CO17" s="238" t="str">
        <f t="shared" si="36"/>
        <v/>
      </c>
      <c r="CP17" s="238" t="str">
        <f t="shared" si="37"/>
        <v/>
      </c>
      <c r="CQ17" s="238">
        <f t="shared" si="38"/>
        <v>6.6</v>
      </c>
      <c r="CR17" s="238">
        <f t="shared" si="39"/>
        <v>4.5</v>
      </c>
      <c r="CS17" s="238">
        <f t="shared" si="40"/>
        <v>6.8</v>
      </c>
      <c r="CT17" s="240">
        <f t="shared" si="41"/>
        <v>5.57</v>
      </c>
      <c r="CU17" s="241">
        <f t="shared" si="42"/>
        <v>6.6</v>
      </c>
      <c r="CV17" s="241">
        <f t="shared" si="43"/>
        <v>5.9</v>
      </c>
      <c r="CW17" s="241">
        <f t="shared" si="44"/>
        <v>5.5</v>
      </c>
      <c r="CX17" s="241">
        <f t="shared" si="45"/>
        <v>6.3</v>
      </c>
      <c r="CY17" s="241" t="str">
        <f t="shared" si="46"/>
        <v/>
      </c>
      <c r="CZ17" s="241" t="str">
        <f t="shared" si="47"/>
        <v/>
      </c>
      <c r="DA17" s="241" t="str">
        <f t="shared" si="48"/>
        <v/>
      </c>
      <c r="DB17" s="241" t="str">
        <f t="shared" si="49"/>
        <v/>
      </c>
      <c r="DC17" s="241" t="str">
        <f t="shared" si="50"/>
        <v/>
      </c>
      <c r="DD17" s="241">
        <f t="shared" si="51"/>
        <v>6.6</v>
      </c>
      <c r="DE17" s="241">
        <f t="shared" si="52"/>
        <v>4.5</v>
      </c>
      <c r="DF17" s="241">
        <f t="shared" si="53"/>
        <v>6.8</v>
      </c>
      <c r="DG17" s="242">
        <f t="shared" si="9"/>
        <v>6.07</v>
      </c>
      <c r="DH17" s="82" t="str">
        <f t="shared" si="54"/>
        <v/>
      </c>
      <c r="DI17" s="82" t="str">
        <f t="shared" si="55"/>
        <v/>
      </c>
      <c r="DJ17" s="82" t="str">
        <f t="shared" si="56"/>
        <v/>
      </c>
      <c r="DK17" s="82" t="str">
        <f t="shared" si="57"/>
        <v/>
      </c>
      <c r="DL17" s="82" t="str">
        <f t="shared" si="58"/>
        <v/>
      </c>
      <c r="DM17" s="82" t="str">
        <f t="shared" si="59"/>
        <v/>
      </c>
      <c r="DN17" s="82" t="str">
        <f t="shared" si="60"/>
        <v/>
      </c>
      <c r="DO17" s="82" t="str">
        <f t="shared" si="61"/>
        <v/>
      </c>
      <c r="DP17" s="82" t="str">
        <f t="shared" si="62"/>
        <v/>
      </c>
      <c r="DQ17" s="82" t="str">
        <f t="shared" si="63"/>
        <v/>
      </c>
      <c r="DR17" s="82" t="str">
        <f t="shared" si="64"/>
        <v/>
      </c>
      <c r="DS17" s="253" t="str">
        <f t="shared" si="65"/>
        <v/>
      </c>
      <c r="DT17" s="250">
        <f t="shared" si="66"/>
        <v>6.6</v>
      </c>
      <c r="DU17" s="238">
        <f t="shared" si="67"/>
        <v>5.9</v>
      </c>
      <c r="DV17" s="238">
        <f t="shared" si="68"/>
        <v>5.5</v>
      </c>
      <c r="DW17" s="238">
        <f t="shared" si="69"/>
        <v>6.3</v>
      </c>
      <c r="DX17" s="238">
        <f t="shared" si="70"/>
        <v>3.1</v>
      </c>
      <c r="DY17" s="238" t="str">
        <f t="shared" si="71"/>
        <v/>
      </c>
      <c r="DZ17" s="238" t="str">
        <f t="shared" si="72"/>
        <v/>
      </c>
      <c r="EA17" s="238" t="str">
        <f t="shared" si="73"/>
        <v/>
      </c>
      <c r="EB17" s="238" t="str">
        <f t="shared" si="74"/>
        <v/>
      </c>
      <c r="EC17" s="238">
        <f t="shared" si="75"/>
        <v>6.6</v>
      </c>
      <c r="ED17" s="238">
        <f t="shared" si="76"/>
        <v>4.5</v>
      </c>
      <c r="EE17" s="238">
        <f t="shared" si="77"/>
        <v>6.8</v>
      </c>
      <c r="EF17" s="255" t="str">
        <f t="shared" si="78"/>
        <v/>
      </c>
      <c r="EG17" s="257">
        <f t="shared" si="79"/>
        <v>6.6</v>
      </c>
      <c r="EH17" s="257">
        <f t="shared" si="80"/>
        <v>5.9</v>
      </c>
      <c r="EI17" s="257">
        <f t="shared" si="81"/>
        <v>5.5</v>
      </c>
      <c r="EJ17" s="257">
        <f t="shared" si="82"/>
        <v>6.3</v>
      </c>
      <c r="EK17" s="257" t="str">
        <f t="shared" si="83"/>
        <v/>
      </c>
      <c r="EL17" s="257" t="str">
        <f t="shared" si="84"/>
        <v/>
      </c>
      <c r="EM17" s="257" t="str">
        <f t="shared" si="85"/>
        <v/>
      </c>
      <c r="EN17" s="257" t="str">
        <f t="shared" si="86"/>
        <v/>
      </c>
      <c r="EO17" s="257" t="str">
        <f t="shared" si="87"/>
        <v/>
      </c>
      <c r="EP17" s="257">
        <f t="shared" si="88"/>
        <v>6.6</v>
      </c>
      <c r="EQ17" s="257">
        <f t="shared" si="89"/>
        <v>4.5</v>
      </c>
      <c r="ER17" s="257">
        <f t="shared" si="90"/>
        <v>6.8</v>
      </c>
      <c r="ES17" s="262">
        <f t="shared" si="10"/>
        <v>6.07</v>
      </c>
      <c r="ET17" s="307">
        <f t="shared" si="91"/>
        <v>5.57</v>
      </c>
    </row>
    <row r="18" spans="1:150" s="89" customFormat="1" ht="30" customHeight="1">
      <c r="A18" s="272">
        <f>IF($B18="","",SUBTOTAL(3,$B$11:B18))</f>
        <v>8</v>
      </c>
      <c r="B18" s="457" t="s">
        <v>1558</v>
      </c>
      <c r="C18" s="76" t="str">
        <f>IF($B18="","",VLOOKUP($B18,'DS LOP HKI'!$B$2:$D$951,2,0))</f>
        <v>Trần Văn</v>
      </c>
      <c r="D18" s="77" t="str">
        <f>IF($B18="","",VLOOKUP($B18,'DS LOP HKI'!$B$2:$D$951,3,0))</f>
        <v>Chinh</v>
      </c>
      <c r="E18" s="78"/>
      <c r="F18" s="79"/>
      <c r="G18" s="80">
        <v>1</v>
      </c>
      <c r="H18" s="81">
        <f>IF(OR($H$6="",$H$7=""),"",IF($B18="","",IF(ISNA(VLOOKUP($B18,'LT01'!$B$11:$M$80,12,FALSE)),"",IF(VLOOKUP($B18,'LT01'!$B$11:$M$80,12,FALSE)="","",VLOOKUP($B18,'LT01'!$B$11:$M$80,12,FALSE)))))</f>
        <v>5</v>
      </c>
      <c r="I18" s="82">
        <f>IF(OR($H$6="",$H$7=""),"",IF($B18="","",IF(ISNA(VLOOKUP($B18,'LT01'!$B$11:$N$80,13,FALSE)),"",VLOOKUP($B18,'LT01'!$B$11:$N$80,13,FALSE))))</f>
        <v>5.6</v>
      </c>
      <c r="J18" s="83"/>
      <c r="K18" s="84" t="str">
        <f>IF(OR($H$6="",$H$7=""),"",IF($B18="","",IF(ISNA(VLOOKUP($B18,'LT01'!$B$11:$Q$80,16,FALSE)),"",IF(VLOOKUP($B18,'LT01'!$B$11:$Q$80,16,FALSE)="","",VLOOKUP($B18,'LT01'!$B$11:$Q$80,16,FALSE)))))</f>
        <v/>
      </c>
      <c r="L18" s="85">
        <f>IF(OR($L$6="",$L$7=""),"",IF($B18="","",IF(ISNA(VLOOKUP($B18,'LT02'!$B$11:$M$80,12,FALSE)),"",IF(VLOOKUP($B18,'LT02'!$B$11:$M$80,12,FALSE)="","",VLOOKUP($B18,'LT02'!$B$11:$M$80,12,FALSE)))))</f>
        <v>5</v>
      </c>
      <c r="M18" s="82">
        <f>IF(OR($L$6="",$L$7=""),"",IF($B18="","",IF(ISNA(VLOOKUP($B18,'LT02'!$B$11:$N$80,13,FALSE)),"",VLOOKUP($B18,'LT02'!$B$11:$N$80,13,FALSE))))</f>
        <v>5.0999999999999996</v>
      </c>
      <c r="N18" s="83"/>
      <c r="O18" s="84" t="str">
        <f>IF(OR($L$6="",$L$7=""),"",IF($B18="","",IF(ISNA(VLOOKUP($B18,'LT02'!$B$11:$Q$80,16,FALSE)),"",VLOOKUP($B18,'LT02'!$B$11:$Q$80,16,FALSE))))</f>
        <v/>
      </c>
      <c r="P18" s="85">
        <f>IF(OR($P$6="",$P$7=""),"",IF($B18="","",IF(ISNA(VLOOKUP($B18,'LT03'!$B$11:$M$80,12,FALSE)),"",IF(VLOOKUP($B18,'LT03'!$B$11:$M$80,12,FALSE)="","",VLOOKUP($B18,'LT03'!$B$11:$M$80,12,FALSE)))))</f>
        <v>4</v>
      </c>
      <c r="Q18" s="82">
        <f>IF(OR($P$6="",$P$7=""),"",IF($B18="","",IF(ISNA(VLOOKUP($B18,'LT03'!$B$11:$N$80,13,FALSE)),"",VLOOKUP($B18,'LT03'!$B$11:$N$80,13,FALSE))))</f>
        <v>4.7</v>
      </c>
      <c r="R18" s="83"/>
      <c r="S18" s="84" t="str">
        <f>IF(OR($P$6="",$P$7=""),"",IF($B18="","",IF(ISNA(VLOOKUP($B18,'LT03'!$B$11:$Q$80,16,FALSE)),"",VLOOKUP($B18,'LT03'!$B$11:$Q$80,16,FALSE))))</f>
        <v/>
      </c>
      <c r="T18" s="85">
        <f>IF(OR($T$6="",$T$7=""),"",IF($B18="","",IF(ISNA(VLOOKUP($B18,'LT04'!$B$11:$M$80,12,FALSE)),"",IF(VLOOKUP($B18,'LT04'!$B$11:$M$80,12,FALSE)="","",VLOOKUP($B18,'LT04'!$B$11:$M$80,12,FALSE)))))</f>
        <v>6.3</v>
      </c>
      <c r="U18" s="82">
        <f>IF(OR($T$6="",$T$7=""),"",IF($B18="","",IF(ISNA(VLOOKUP($B18,'LT04'!$B$11:$N$80,13,FALSE)),"",VLOOKUP($B18,'LT04'!$B$11:$N$80,13,FALSE))))</f>
        <v>6.4</v>
      </c>
      <c r="V18" s="83"/>
      <c r="W18" s="84" t="str">
        <f>IF(OR($T$6="",$T$7=""),"",IF($B18="","",IF(ISNA(VLOOKUP($B18,'LT04'!$B$11:$Q$80,16,FALSE)),"",VLOOKUP($B18,'LT04'!$B$11:$Q$80,16,FALSE))))</f>
        <v/>
      </c>
      <c r="X18" s="85">
        <f>IF(OR($X$6="",$X$7=""),"",IF($B18="","",IF(ISNA(VLOOKUP($B18,'LT05'!$B$11:$M$80,12,FALSE)),"",IF(VLOOKUP($B18,'LT05'!$B$11:$M$80,12,FALSE)="","",VLOOKUP($B18,'LT05'!$B$11:$M$80,12,FALSE)))))</f>
        <v>3</v>
      </c>
      <c r="Y18" s="82">
        <f>IF(OR($X$6="",$X$7=""),"",IF($B18="","",IF(ISNA(VLOOKUP($B18,'LT05'!$B$11:$N$80,13,FALSE)),"",VLOOKUP($B18,'LT05'!$B$11:$N$80,13,FALSE))))</f>
        <v>4</v>
      </c>
      <c r="Z18" s="83"/>
      <c r="AA18" s="84" t="str">
        <f>IF(OR($X$6="",$X$7=""),"",IF($B18="","",IF(ISNA(VLOOKUP($B18,'LT05'!$B$11:$Q$80,16,FALSE)),"",VLOOKUP($B18,'LT05'!$B$11:$Q$80,16,FALSE))))</f>
        <v/>
      </c>
      <c r="AB18" s="85" t="str">
        <f>IF(OR($AB$6="",$AB$7=""),"",IF($B18="","",IF(ISNA(VLOOKUP($B18,'LT06'!$B$11:$M$80,12,FALSE)),"",IF(VLOOKUP($B18,'LT06'!$B$11:$M$80,12,FALSE)="","",VLOOKUP($B18,'LT06'!$B$11:$M$80,12,FALSE)))))</f>
        <v/>
      </c>
      <c r="AC18" s="82" t="str">
        <f>IF(OR($AB$6="",$AB$7=""),"",IF($B18="","",IF(ISNA(VLOOKUP($B18,'LT06'!$B$11:$N$80,13,FALSE)),"",VLOOKUP($B18,'LT06'!$B$11:$N$80,13,FALSE))))</f>
        <v/>
      </c>
      <c r="AD18" s="83"/>
      <c r="AE18" s="84" t="str">
        <f>IF(OR($AB$6="",$AB$7=""),"",IF($B18="","",IF(ISNA(VLOOKUP($B18,'LT06'!$B$11:$Q$80,16,FALSE)),"",VLOOKUP($B18,'LT06'!$B$11:$Q$80,16,FALSE))))</f>
        <v/>
      </c>
      <c r="AF18" s="85" t="str">
        <f>IF(OR($AF$6="",$AF$7=""),"",IF($B18="","",IF(ISNA(VLOOKUP($B18,'LT07'!$B$11:$M$80,12,FALSE)),"",IF(VLOOKUP($B18,'LT07'!$B$11:$M$80,12,FALSE)="","",VLOOKUP($B18,'LT07'!$B$11:$M$80,12,FALSE)))))</f>
        <v/>
      </c>
      <c r="AG18" s="82" t="str">
        <f>IF(OR($AF$6="",$AF$7=""),"",IF($B18="","",IF(ISNA(VLOOKUP($B18,'LT07'!$B$11:$N$80,13,FALSE)),"",VLOOKUP($B18,'LT07'!$B$11:$N$80,13,FALSE))))</f>
        <v/>
      </c>
      <c r="AH18" s="83"/>
      <c r="AI18" s="84" t="str">
        <f>IF(OR($AF$6="",$AF$7=""),"",IF($B18="","",IF(ISNA(VLOOKUP($B18,'LT07'!$B$11:$Q$80,16,FALSE)),"",VLOOKUP($B18,'LT07'!$B$11:$Q$80,16,FALSE))))</f>
        <v/>
      </c>
      <c r="AJ18" s="304"/>
      <c r="AK18" s="82" t="str">
        <f>IF(OR($AJ$6="",$AJ$7=""),"",IF($B18="","",IF(ISNA(VLOOKUP($B18,'DO AN'!$B$11:$L$80,11,FALSE)),"",IF(VLOOKUP($B18,'DO AN'!$B$11:$L$80,11,FALSE)="","",VLOOKUP($B18,'DO AN'!$B$11:$L$80,11,FALSE)))))</f>
        <v/>
      </c>
      <c r="AL18" s="83"/>
      <c r="AM18" s="451"/>
      <c r="AN18" s="83"/>
      <c r="AO18" s="82" t="str">
        <f>IF(OR($AN$6="",$AN$7=""),"",IF($B18="","",IF(ISNA(VLOOKUP($B18,'DO AN 2'!$B$11:$L$80,11,FALSE)),"",IF(VLOOKUP($B18,'DO AN 2'!$B$11:$L$80,11,FALSE)="","",VLOOKUP($B18,'DO AN 2'!$B$11:$L$80,11,FALSE)))))</f>
        <v/>
      </c>
      <c r="AP18" s="83"/>
      <c r="AQ18" s="83"/>
      <c r="AR18" s="454"/>
      <c r="AS18" s="82">
        <f>IF(OR($AR$6="",$AR$7=""),"",IF($B18="","",IF(ISNA(VLOOKUP($B18,'TH01'!$B$11:$O$80,14,FALSE)),"",VLOOKUP($B18,'TH01'!$B$11:$O$80,14,FALSE))))</f>
        <v>7.4</v>
      </c>
      <c r="AT18" s="83"/>
      <c r="AU18" s="303"/>
      <c r="AV18" s="304"/>
      <c r="AW18" s="82">
        <f>IF(OR($AV$6="",$AV$7=""),"",IF($B18="","",IF(ISNA(VLOOKUP($B18,'TH02'!$B$11:$O$80,14,FALSE)),"",VLOOKUP($B18,'TH02'!$B$11:$O$80,14,FALSE))))</f>
        <v>5.3</v>
      </c>
      <c r="AX18" s="83"/>
      <c r="AY18" s="303"/>
      <c r="AZ18" s="304"/>
      <c r="BA18" s="82">
        <f>IF(OR($AZ$6="",$AZ$7=""),"",IF($B18="","",IF(ISNA(VLOOKUP($B18,'TH03'!$B$11:$O$80,14,FALSE)),"",VLOOKUP($B18,'TH03'!$B$11:$O$80,14,FALSE))))</f>
        <v>6.8</v>
      </c>
      <c r="BB18" s="83"/>
      <c r="BC18" s="303"/>
      <c r="BD18" s="86">
        <f t="shared" si="11"/>
        <v>5.57</v>
      </c>
      <c r="BE18" s="86" t="str">
        <f t="shared" si="12"/>
        <v/>
      </c>
      <c r="BF18" s="87">
        <v>59</v>
      </c>
      <c r="BG18" s="88" t="str">
        <f t="shared" si="0"/>
        <v>T.Bình</v>
      </c>
      <c r="BH18" s="88" t="str">
        <f t="shared" si="1"/>
        <v/>
      </c>
      <c r="BI18" s="87"/>
      <c r="BJ18" s="86" t="str">
        <f t="shared" si="2"/>
        <v/>
      </c>
      <c r="BK18" s="265">
        <f t="shared" si="3"/>
        <v>18</v>
      </c>
      <c r="BL18" s="88">
        <f t="shared" si="4"/>
        <v>0</v>
      </c>
      <c r="BM18" s="88">
        <f t="shared" si="5"/>
        <v>18</v>
      </c>
      <c r="BN18" s="88">
        <f t="shared" si="6"/>
        <v>0</v>
      </c>
      <c r="BO18" s="86">
        <f t="shared" si="13"/>
        <v>5.57</v>
      </c>
      <c r="BP18" s="86" t="str">
        <f t="shared" si="7"/>
        <v>BT</v>
      </c>
      <c r="BQ18" s="86">
        <f t="shared" si="14"/>
        <v>5.57</v>
      </c>
      <c r="BR18" s="86" t="str">
        <f t="shared" si="8"/>
        <v>BT</v>
      </c>
      <c r="BS18" s="87"/>
      <c r="BT18" s="276">
        <f t="shared" si="15"/>
        <v>2</v>
      </c>
      <c r="BU18" s="238">
        <f t="shared" si="16"/>
        <v>5</v>
      </c>
      <c r="BV18" s="238">
        <f t="shared" si="17"/>
        <v>5</v>
      </c>
      <c r="BW18" s="238">
        <f t="shared" si="18"/>
        <v>4</v>
      </c>
      <c r="BX18" s="238">
        <f t="shared" si="19"/>
        <v>6.3</v>
      </c>
      <c r="BY18" s="238">
        <f t="shared" si="20"/>
        <v>3</v>
      </c>
      <c r="BZ18" s="238" t="str">
        <f t="shared" si="21"/>
        <v/>
      </c>
      <c r="CA18" s="238" t="str">
        <f t="shared" si="22"/>
        <v/>
      </c>
      <c r="CB18" s="238" t="str">
        <f t="shared" si="23"/>
        <v/>
      </c>
      <c r="CC18" s="238" t="str">
        <f t="shared" si="24"/>
        <v/>
      </c>
      <c r="CD18" s="238">
        <f t="shared" si="25"/>
        <v>7.4</v>
      </c>
      <c r="CE18" s="238">
        <f t="shared" si="26"/>
        <v>5.3</v>
      </c>
      <c r="CF18" s="238">
        <f t="shared" si="27"/>
        <v>6.8</v>
      </c>
      <c r="CG18" s="239">
        <f t="shared" si="28"/>
        <v>0</v>
      </c>
      <c r="CH18" s="238">
        <f t="shared" si="29"/>
        <v>5.6</v>
      </c>
      <c r="CI18" s="238">
        <f t="shared" si="30"/>
        <v>5.0999999999999996</v>
      </c>
      <c r="CJ18" s="238">
        <f t="shared" si="31"/>
        <v>4.7</v>
      </c>
      <c r="CK18" s="238">
        <f t="shared" si="32"/>
        <v>6.4</v>
      </c>
      <c r="CL18" s="238">
        <f t="shared" si="33"/>
        <v>4</v>
      </c>
      <c r="CM18" s="238" t="str">
        <f t="shared" si="34"/>
        <v/>
      </c>
      <c r="CN18" s="238" t="str">
        <f t="shared" si="35"/>
        <v/>
      </c>
      <c r="CO18" s="238" t="str">
        <f t="shared" si="36"/>
        <v/>
      </c>
      <c r="CP18" s="238" t="str">
        <f t="shared" si="37"/>
        <v/>
      </c>
      <c r="CQ18" s="238">
        <f t="shared" si="38"/>
        <v>7.4</v>
      </c>
      <c r="CR18" s="238">
        <f t="shared" si="39"/>
        <v>5.3</v>
      </c>
      <c r="CS18" s="238">
        <f t="shared" si="40"/>
        <v>6.8</v>
      </c>
      <c r="CT18" s="240">
        <f t="shared" si="41"/>
        <v>5.57</v>
      </c>
      <c r="CU18" s="241">
        <f t="shared" si="42"/>
        <v>5.6</v>
      </c>
      <c r="CV18" s="241">
        <f t="shared" si="43"/>
        <v>5.0999999999999996</v>
      </c>
      <c r="CW18" s="241">
        <f t="shared" si="44"/>
        <v>4.7</v>
      </c>
      <c r="CX18" s="241">
        <f t="shared" si="45"/>
        <v>6.4</v>
      </c>
      <c r="CY18" s="241">
        <f t="shared" si="46"/>
        <v>4</v>
      </c>
      <c r="CZ18" s="241" t="str">
        <f t="shared" si="47"/>
        <v/>
      </c>
      <c r="DA18" s="241" t="str">
        <f t="shared" si="48"/>
        <v/>
      </c>
      <c r="DB18" s="241" t="str">
        <f t="shared" si="49"/>
        <v/>
      </c>
      <c r="DC18" s="241" t="str">
        <f t="shared" si="50"/>
        <v/>
      </c>
      <c r="DD18" s="241">
        <f t="shared" si="51"/>
        <v>7.4</v>
      </c>
      <c r="DE18" s="241">
        <f t="shared" si="52"/>
        <v>5.3</v>
      </c>
      <c r="DF18" s="241">
        <f t="shared" si="53"/>
        <v>6.8</v>
      </c>
      <c r="DG18" s="242">
        <f t="shared" si="9"/>
        <v>5.57</v>
      </c>
      <c r="DH18" s="82" t="str">
        <f t="shared" si="54"/>
        <v/>
      </c>
      <c r="DI18" s="82" t="str">
        <f t="shared" si="55"/>
        <v/>
      </c>
      <c r="DJ18" s="82" t="str">
        <f t="shared" si="56"/>
        <v/>
      </c>
      <c r="DK18" s="82" t="str">
        <f t="shared" si="57"/>
        <v/>
      </c>
      <c r="DL18" s="82" t="str">
        <f t="shared" si="58"/>
        <v/>
      </c>
      <c r="DM18" s="82" t="str">
        <f t="shared" si="59"/>
        <v/>
      </c>
      <c r="DN18" s="82" t="str">
        <f t="shared" si="60"/>
        <v/>
      </c>
      <c r="DO18" s="82" t="str">
        <f t="shared" si="61"/>
        <v/>
      </c>
      <c r="DP18" s="82" t="str">
        <f t="shared" si="62"/>
        <v/>
      </c>
      <c r="DQ18" s="82" t="str">
        <f t="shared" si="63"/>
        <v/>
      </c>
      <c r="DR18" s="82" t="str">
        <f t="shared" si="64"/>
        <v/>
      </c>
      <c r="DS18" s="253" t="str">
        <f t="shared" si="65"/>
        <v/>
      </c>
      <c r="DT18" s="250">
        <f t="shared" si="66"/>
        <v>5.6</v>
      </c>
      <c r="DU18" s="238">
        <f t="shared" si="67"/>
        <v>5.0999999999999996</v>
      </c>
      <c r="DV18" s="238">
        <f t="shared" si="68"/>
        <v>4.7</v>
      </c>
      <c r="DW18" s="238">
        <f t="shared" si="69"/>
        <v>6.4</v>
      </c>
      <c r="DX18" s="238">
        <f t="shared" si="70"/>
        <v>4</v>
      </c>
      <c r="DY18" s="238" t="str">
        <f t="shared" si="71"/>
        <v/>
      </c>
      <c r="DZ18" s="238" t="str">
        <f t="shared" si="72"/>
        <v/>
      </c>
      <c r="EA18" s="238" t="str">
        <f t="shared" si="73"/>
        <v/>
      </c>
      <c r="EB18" s="238" t="str">
        <f t="shared" si="74"/>
        <v/>
      </c>
      <c r="EC18" s="238">
        <f t="shared" si="75"/>
        <v>7.4</v>
      </c>
      <c r="ED18" s="238">
        <f t="shared" si="76"/>
        <v>5.3</v>
      </c>
      <c r="EE18" s="238">
        <f t="shared" si="77"/>
        <v>6.8</v>
      </c>
      <c r="EF18" s="255" t="str">
        <f t="shared" si="78"/>
        <v/>
      </c>
      <c r="EG18" s="257">
        <f t="shared" si="79"/>
        <v>5.6</v>
      </c>
      <c r="EH18" s="257">
        <f t="shared" si="80"/>
        <v>5.0999999999999996</v>
      </c>
      <c r="EI18" s="257">
        <f t="shared" si="81"/>
        <v>4.7</v>
      </c>
      <c r="EJ18" s="257">
        <f t="shared" si="82"/>
        <v>6.4</v>
      </c>
      <c r="EK18" s="257">
        <f t="shared" si="83"/>
        <v>4</v>
      </c>
      <c r="EL18" s="257" t="str">
        <f t="shared" si="84"/>
        <v/>
      </c>
      <c r="EM18" s="257" t="str">
        <f t="shared" si="85"/>
        <v/>
      </c>
      <c r="EN18" s="257" t="str">
        <f t="shared" si="86"/>
        <v/>
      </c>
      <c r="EO18" s="257" t="str">
        <f t="shared" si="87"/>
        <v/>
      </c>
      <c r="EP18" s="257">
        <f t="shared" si="88"/>
        <v>7.4</v>
      </c>
      <c r="EQ18" s="257">
        <f t="shared" si="89"/>
        <v>5.3</v>
      </c>
      <c r="ER18" s="257">
        <f t="shared" si="90"/>
        <v>6.8</v>
      </c>
      <c r="ES18" s="262">
        <f t="shared" si="10"/>
        <v>5.57</v>
      </c>
      <c r="ET18" s="307">
        <f t="shared" si="91"/>
        <v>5.57</v>
      </c>
    </row>
    <row r="19" spans="1:150" s="89" customFormat="1" ht="30" customHeight="1">
      <c r="A19" s="272">
        <f>IF($B19="","",SUBTOTAL(3,$B$11:B19))</f>
        <v>9</v>
      </c>
      <c r="B19" s="457" t="s">
        <v>1804</v>
      </c>
      <c r="C19" s="76" t="str">
        <f>IF($B19="","",VLOOKUP($B19,'DS LOP HKI'!$B$2:$D$951,2,0))</f>
        <v>Phạm Công</v>
      </c>
      <c r="D19" s="77" t="str">
        <f>IF($B19="","",VLOOKUP($B19,'DS LOP HKI'!$B$2:$D$951,3,0))</f>
        <v>Chính</v>
      </c>
      <c r="E19" s="78"/>
      <c r="F19" s="79"/>
      <c r="G19" s="80">
        <v>3</v>
      </c>
      <c r="H19" s="81">
        <f>IF(OR($H$6="",$H$7=""),"",IF($B19="","",IF(ISNA(VLOOKUP($B19,'LT01'!$B$11:$M$80,12,FALSE)),"",IF(VLOOKUP($B19,'LT01'!$B$11:$M$80,12,FALSE)="","",VLOOKUP($B19,'LT01'!$B$11:$M$80,12,FALSE)))))</f>
        <v>3.5</v>
      </c>
      <c r="I19" s="82">
        <f>IF(OR($H$6="",$H$7=""),"",IF($B19="","",IF(ISNA(VLOOKUP($B19,'LT01'!$B$11:$N$80,13,FALSE)),"",VLOOKUP($B19,'LT01'!$B$11:$N$80,13,FALSE))))</f>
        <v>5.3</v>
      </c>
      <c r="J19" s="83"/>
      <c r="K19" s="84" t="str">
        <f>IF(OR($H$6="",$H$7=""),"",IF($B19="","",IF(ISNA(VLOOKUP($B19,'LT01'!$B$11:$Q$80,16,FALSE)),"",IF(VLOOKUP($B19,'LT01'!$B$11:$Q$80,16,FALSE)="","",VLOOKUP($B19,'LT01'!$B$11:$Q$80,16,FALSE)))))</f>
        <v/>
      </c>
      <c r="L19" s="85">
        <f>IF(OR($L$6="",$L$7=""),"",IF($B19="","",IF(ISNA(VLOOKUP($B19,'LT02'!$B$11:$M$80,12,FALSE)),"",IF(VLOOKUP($B19,'LT02'!$B$11:$M$80,12,FALSE)="","",VLOOKUP($B19,'LT02'!$B$11:$M$80,12,FALSE)))))</f>
        <v>4.8</v>
      </c>
      <c r="M19" s="82">
        <f>IF(OR($L$6="",$L$7=""),"",IF($B19="","",IF(ISNA(VLOOKUP($B19,'LT02'!$B$11:$N$80,13,FALSE)),"",VLOOKUP($B19,'LT02'!$B$11:$N$80,13,FALSE))))</f>
        <v>4.7</v>
      </c>
      <c r="N19" s="83"/>
      <c r="O19" s="84" t="str">
        <f>IF(OR($L$6="",$L$7=""),"",IF($B19="","",IF(ISNA(VLOOKUP($B19,'LT02'!$B$11:$Q$80,16,FALSE)),"",VLOOKUP($B19,'LT02'!$B$11:$Q$80,16,FALSE))))</f>
        <v/>
      </c>
      <c r="P19" s="85">
        <f>IF(OR($P$6="",$P$7=""),"",IF($B19="","",IF(ISNA(VLOOKUP($B19,'LT03'!$B$11:$M$80,12,FALSE)),"",IF(VLOOKUP($B19,'LT03'!$B$11:$M$80,12,FALSE)="","",VLOOKUP($B19,'LT03'!$B$11:$M$80,12,FALSE)))))</f>
        <v>2</v>
      </c>
      <c r="Q19" s="82">
        <f>IF(OR($P$6="",$P$7=""),"",IF($B19="","",IF(ISNA(VLOOKUP($B19,'LT03'!$B$11:$N$80,13,FALSE)),"",VLOOKUP($B19,'LT03'!$B$11:$N$80,13,FALSE))))</f>
        <v>3.8</v>
      </c>
      <c r="R19" s="83"/>
      <c r="S19" s="84" t="str">
        <f>IF(OR($P$6="",$P$7=""),"",IF($B19="","",IF(ISNA(VLOOKUP($B19,'LT03'!$B$11:$Q$80,16,FALSE)),"",VLOOKUP($B19,'LT03'!$B$11:$Q$80,16,FALSE))))</f>
        <v/>
      </c>
      <c r="T19" s="85">
        <f>IF(OR($T$6="",$T$7=""),"",IF($B19="","",IF(ISNA(VLOOKUP($B19,'LT04'!$B$11:$M$80,12,FALSE)),"",IF(VLOOKUP($B19,'LT04'!$B$11:$M$80,12,FALSE)="","",VLOOKUP($B19,'LT04'!$B$11:$M$80,12,FALSE)))))</f>
        <v>6.3</v>
      </c>
      <c r="U19" s="82">
        <f>IF(OR($T$6="",$T$7=""),"",IF($B19="","",IF(ISNA(VLOOKUP($B19,'LT04'!$B$11:$N$80,13,FALSE)),"",VLOOKUP($B19,'LT04'!$B$11:$N$80,13,FALSE))))</f>
        <v>6.4</v>
      </c>
      <c r="V19" s="83"/>
      <c r="W19" s="84" t="str">
        <f>IF(OR($T$6="",$T$7=""),"",IF($B19="","",IF(ISNA(VLOOKUP($B19,'LT04'!$B$11:$Q$80,16,FALSE)),"",VLOOKUP($B19,'LT04'!$B$11:$Q$80,16,FALSE))))</f>
        <v/>
      </c>
      <c r="X19" s="85">
        <f>IF(OR($X$6="",$X$7=""),"",IF($B19="","",IF(ISNA(VLOOKUP($B19,'LT05'!$B$11:$M$80,12,FALSE)),"",IF(VLOOKUP($B19,'LT05'!$B$11:$M$80,12,FALSE)="","",VLOOKUP($B19,'LT05'!$B$11:$M$80,12,FALSE)))))</f>
        <v>2.8</v>
      </c>
      <c r="Y19" s="82">
        <f>IF(OR($X$6="",$X$7=""),"",IF($B19="","",IF(ISNA(VLOOKUP($B19,'LT05'!$B$11:$N$80,13,FALSE)),"",VLOOKUP($B19,'LT05'!$B$11:$N$80,13,FALSE))))</f>
        <v>3.3</v>
      </c>
      <c r="Z19" s="83"/>
      <c r="AA19" s="84" t="str">
        <f>IF(OR($X$6="",$X$7=""),"",IF($B19="","",IF(ISNA(VLOOKUP($B19,'LT05'!$B$11:$Q$80,16,FALSE)),"",VLOOKUP($B19,'LT05'!$B$11:$Q$80,16,FALSE))))</f>
        <v/>
      </c>
      <c r="AB19" s="85" t="str">
        <f>IF(OR($AB$6="",$AB$7=""),"",IF($B19="","",IF(ISNA(VLOOKUP($B19,'LT06'!$B$11:$M$80,12,FALSE)),"",IF(VLOOKUP($B19,'LT06'!$B$11:$M$80,12,FALSE)="","",VLOOKUP($B19,'LT06'!$B$11:$M$80,12,FALSE)))))</f>
        <v/>
      </c>
      <c r="AC19" s="82" t="str">
        <f>IF(OR($AB$6="",$AB$7=""),"",IF($B19="","",IF(ISNA(VLOOKUP($B19,'LT06'!$B$11:$N$80,13,FALSE)),"",VLOOKUP($B19,'LT06'!$B$11:$N$80,13,FALSE))))</f>
        <v/>
      </c>
      <c r="AD19" s="83"/>
      <c r="AE19" s="84" t="str">
        <f>IF(OR($AB$6="",$AB$7=""),"",IF($B19="","",IF(ISNA(VLOOKUP($B19,'LT06'!$B$11:$Q$80,16,FALSE)),"",VLOOKUP($B19,'LT06'!$B$11:$Q$80,16,FALSE))))</f>
        <v/>
      </c>
      <c r="AF19" s="85" t="str">
        <f>IF(OR($AF$6="",$AF$7=""),"",IF($B19="","",IF(ISNA(VLOOKUP($B19,'LT07'!$B$11:$M$80,12,FALSE)),"",IF(VLOOKUP($B19,'LT07'!$B$11:$M$80,12,FALSE)="","",VLOOKUP($B19,'LT07'!$B$11:$M$80,12,FALSE)))))</f>
        <v/>
      </c>
      <c r="AG19" s="82" t="str">
        <f>IF(OR($AF$6="",$AF$7=""),"",IF($B19="","",IF(ISNA(VLOOKUP($B19,'LT07'!$B$11:$N$80,13,FALSE)),"",VLOOKUP($B19,'LT07'!$B$11:$N$80,13,FALSE))))</f>
        <v/>
      </c>
      <c r="AH19" s="83"/>
      <c r="AI19" s="84" t="str">
        <f>IF(OR($AF$6="",$AF$7=""),"",IF($B19="","",IF(ISNA(VLOOKUP($B19,'LT07'!$B$11:$Q$80,16,FALSE)),"",VLOOKUP($B19,'LT07'!$B$11:$Q$80,16,FALSE))))</f>
        <v/>
      </c>
      <c r="AJ19" s="304"/>
      <c r="AK19" s="82" t="str">
        <f>IF(OR($AJ$6="",$AJ$7=""),"",IF($B19="","",IF(ISNA(VLOOKUP($B19,'DO AN'!$B$11:$L$80,11,FALSE)),"",IF(VLOOKUP($B19,'DO AN'!$B$11:$L$80,11,FALSE)="","",VLOOKUP($B19,'DO AN'!$B$11:$L$80,11,FALSE)))))</f>
        <v/>
      </c>
      <c r="AL19" s="83"/>
      <c r="AM19" s="451"/>
      <c r="AN19" s="83"/>
      <c r="AO19" s="82" t="str">
        <f>IF(OR($AN$6="",$AN$7=""),"",IF($B19="","",IF(ISNA(VLOOKUP($B19,'DO AN 2'!$B$11:$L$80,11,FALSE)),"",IF(VLOOKUP($B19,'DO AN 2'!$B$11:$L$80,11,FALSE)="","",VLOOKUP($B19,'DO AN 2'!$B$11:$L$80,11,FALSE)))))</f>
        <v/>
      </c>
      <c r="AP19" s="83"/>
      <c r="AQ19" s="83"/>
      <c r="AR19" s="454"/>
      <c r="AS19" s="82">
        <f>IF(OR($AR$6="",$AR$7=""),"",IF($B19="","",IF(ISNA(VLOOKUP($B19,'TH01'!$B$11:$O$80,14,FALSE)),"",VLOOKUP($B19,'TH01'!$B$11:$O$80,14,FALSE))))</f>
        <v>5.2</v>
      </c>
      <c r="AT19" s="83"/>
      <c r="AU19" s="303"/>
      <c r="AV19" s="304"/>
      <c r="AW19" s="82">
        <f>IF(OR($AV$6="",$AV$7=""),"",IF($B19="","",IF(ISNA(VLOOKUP($B19,'TH02'!$B$11:$O$80,14,FALSE)),"",VLOOKUP($B19,'TH02'!$B$11:$O$80,14,FALSE))))</f>
        <v>1.5</v>
      </c>
      <c r="AX19" s="83"/>
      <c r="AY19" s="303"/>
      <c r="AZ19" s="304"/>
      <c r="BA19" s="82">
        <f>IF(OR($AZ$6="",$AZ$7=""),"",IF($B19="","",IF(ISNA(VLOOKUP($B19,'TH03'!$B$11:$O$80,14,FALSE)),"",VLOOKUP($B19,'TH03'!$B$11:$O$80,14,FALSE))))</f>
        <v>6.5</v>
      </c>
      <c r="BB19" s="83"/>
      <c r="BC19" s="303"/>
      <c r="BD19" s="86">
        <f t="shared" si="11"/>
        <v>4.5599999999999996</v>
      </c>
      <c r="BE19" s="86" t="str">
        <f t="shared" si="12"/>
        <v/>
      </c>
      <c r="BF19" s="87">
        <v>55</v>
      </c>
      <c r="BG19" s="88" t="str">
        <f t="shared" si="0"/>
        <v>TB Yếu</v>
      </c>
      <c r="BH19" s="88" t="str">
        <f t="shared" si="1"/>
        <v/>
      </c>
      <c r="BI19" s="87"/>
      <c r="BJ19" s="86" t="str">
        <f t="shared" si="2"/>
        <v/>
      </c>
      <c r="BK19" s="265">
        <f t="shared" si="3"/>
        <v>11</v>
      </c>
      <c r="BL19" s="88">
        <f t="shared" si="4"/>
        <v>7</v>
      </c>
      <c r="BM19" s="88">
        <f t="shared" si="5"/>
        <v>11</v>
      </c>
      <c r="BN19" s="88">
        <f t="shared" si="6"/>
        <v>7</v>
      </c>
      <c r="BO19" s="86">
        <f t="shared" si="13"/>
        <v>5.59</v>
      </c>
      <c r="BP19" s="86" t="str">
        <f t="shared" si="7"/>
        <v>BT</v>
      </c>
      <c r="BQ19" s="86">
        <f t="shared" si="14"/>
        <v>5.59</v>
      </c>
      <c r="BR19" s="86" t="str">
        <f t="shared" si="8"/>
        <v>BT</v>
      </c>
      <c r="BS19" s="87"/>
      <c r="BT19" s="276">
        <f t="shared" si="15"/>
        <v>5</v>
      </c>
      <c r="BU19" s="238">
        <f t="shared" si="16"/>
        <v>3.5</v>
      </c>
      <c r="BV19" s="238">
        <f t="shared" si="17"/>
        <v>4.8</v>
      </c>
      <c r="BW19" s="238">
        <f t="shared" si="18"/>
        <v>2</v>
      </c>
      <c r="BX19" s="238">
        <f t="shared" si="19"/>
        <v>6.3</v>
      </c>
      <c r="BY19" s="238">
        <f t="shared" si="20"/>
        <v>2.8</v>
      </c>
      <c r="BZ19" s="238" t="str">
        <f t="shared" si="21"/>
        <v/>
      </c>
      <c r="CA19" s="238" t="str">
        <f t="shared" si="22"/>
        <v/>
      </c>
      <c r="CB19" s="238" t="str">
        <f t="shared" si="23"/>
        <v/>
      </c>
      <c r="CC19" s="238" t="str">
        <f t="shared" si="24"/>
        <v/>
      </c>
      <c r="CD19" s="238">
        <f t="shared" si="25"/>
        <v>5.2</v>
      </c>
      <c r="CE19" s="238">
        <f t="shared" si="26"/>
        <v>1.5</v>
      </c>
      <c r="CF19" s="238">
        <f t="shared" si="27"/>
        <v>6.5</v>
      </c>
      <c r="CG19" s="239">
        <f t="shared" si="28"/>
        <v>3</v>
      </c>
      <c r="CH19" s="238">
        <f t="shared" si="29"/>
        <v>5.3</v>
      </c>
      <c r="CI19" s="238">
        <f t="shared" si="30"/>
        <v>4.7</v>
      </c>
      <c r="CJ19" s="238">
        <f t="shared" si="31"/>
        <v>3.8</v>
      </c>
      <c r="CK19" s="238">
        <f t="shared" si="32"/>
        <v>6.4</v>
      </c>
      <c r="CL19" s="238">
        <f t="shared" si="33"/>
        <v>3.3</v>
      </c>
      <c r="CM19" s="238" t="str">
        <f t="shared" si="34"/>
        <v/>
      </c>
      <c r="CN19" s="238" t="str">
        <f t="shared" si="35"/>
        <v/>
      </c>
      <c r="CO19" s="238" t="str">
        <f t="shared" si="36"/>
        <v/>
      </c>
      <c r="CP19" s="238" t="str">
        <f t="shared" si="37"/>
        <v/>
      </c>
      <c r="CQ19" s="238">
        <f t="shared" si="38"/>
        <v>5.2</v>
      </c>
      <c r="CR19" s="238">
        <f t="shared" si="39"/>
        <v>1.5</v>
      </c>
      <c r="CS19" s="238">
        <f t="shared" si="40"/>
        <v>6.5</v>
      </c>
      <c r="CT19" s="240">
        <f t="shared" si="41"/>
        <v>4.5599999999999996</v>
      </c>
      <c r="CU19" s="241">
        <f t="shared" si="42"/>
        <v>5.3</v>
      </c>
      <c r="CV19" s="241">
        <f t="shared" si="43"/>
        <v>4.7</v>
      </c>
      <c r="CW19" s="241" t="str">
        <f t="shared" si="44"/>
        <v/>
      </c>
      <c r="CX19" s="241">
        <f t="shared" si="45"/>
        <v>6.4</v>
      </c>
      <c r="CY19" s="241" t="str">
        <f t="shared" si="46"/>
        <v/>
      </c>
      <c r="CZ19" s="241" t="str">
        <f t="shared" si="47"/>
        <v/>
      </c>
      <c r="DA19" s="241" t="str">
        <f t="shared" si="48"/>
        <v/>
      </c>
      <c r="DB19" s="241" t="str">
        <f t="shared" si="49"/>
        <v/>
      </c>
      <c r="DC19" s="241" t="str">
        <f t="shared" si="50"/>
        <v/>
      </c>
      <c r="DD19" s="241">
        <f t="shared" si="51"/>
        <v>5.2</v>
      </c>
      <c r="DE19" s="241" t="str">
        <f t="shared" si="52"/>
        <v/>
      </c>
      <c r="DF19" s="241">
        <f t="shared" si="53"/>
        <v>6.5</v>
      </c>
      <c r="DG19" s="242">
        <f t="shared" si="9"/>
        <v>5.59</v>
      </c>
      <c r="DH19" s="82" t="str">
        <f t="shared" si="54"/>
        <v/>
      </c>
      <c r="DI19" s="82" t="str">
        <f t="shared" si="55"/>
        <v/>
      </c>
      <c r="DJ19" s="82" t="str">
        <f t="shared" si="56"/>
        <v/>
      </c>
      <c r="DK19" s="82" t="str">
        <f t="shared" si="57"/>
        <v/>
      </c>
      <c r="DL19" s="82" t="str">
        <f t="shared" si="58"/>
        <v/>
      </c>
      <c r="DM19" s="82" t="str">
        <f t="shared" si="59"/>
        <v/>
      </c>
      <c r="DN19" s="82" t="str">
        <f t="shared" si="60"/>
        <v/>
      </c>
      <c r="DO19" s="82" t="str">
        <f t="shared" si="61"/>
        <v/>
      </c>
      <c r="DP19" s="82" t="str">
        <f t="shared" si="62"/>
        <v/>
      </c>
      <c r="DQ19" s="82" t="str">
        <f t="shared" si="63"/>
        <v/>
      </c>
      <c r="DR19" s="82" t="str">
        <f t="shared" si="64"/>
        <v/>
      </c>
      <c r="DS19" s="253" t="str">
        <f t="shared" si="65"/>
        <v/>
      </c>
      <c r="DT19" s="250">
        <f t="shared" si="66"/>
        <v>5.3</v>
      </c>
      <c r="DU19" s="238">
        <f t="shared" si="67"/>
        <v>4.7</v>
      </c>
      <c r="DV19" s="238">
        <f t="shared" si="68"/>
        <v>3.8</v>
      </c>
      <c r="DW19" s="238">
        <f t="shared" si="69"/>
        <v>6.4</v>
      </c>
      <c r="DX19" s="238">
        <f t="shared" si="70"/>
        <v>3.3</v>
      </c>
      <c r="DY19" s="238" t="str">
        <f t="shared" si="71"/>
        <v/>
      </c>
      <c r="DZ19" s="238" t="str">
        <f t="shared" si="72"/>
        <v/>
      </c>
      <c r="EA19" s="238" t="str">
        <f t="shared" si="73"/>
        <v/>
      </c>
      <c r="EB19" s="238" t="str">
        <f t="shared" si="74"/>
        <v/>
      </c>
      <c r="EC19" s="238">
        <f t="shared" si="75"/>
        <v>5.2</v>
      </c>
      <c r="ED19" s="238">
        <f t="shared" si="76"/>
        <v>1.5</v>
      </c>
      <c r="EE19" s="238">
        <f t="shared" si="77"/>
        <v>6.5</v>
      </c>
      <c r="EF19" s="255" t="str">
        <f t="shared" si="78"/>
        <v/>
      </c>
      <c r="EG19" s="257">
        <f t="shared" si="79"/>
        <v>5.3</v>
      </c>
      <c r="EH19" s="257">
        <f t="shared" si="80"/>
        <v>4.7</v>
      </c>
      <c r="EI19" s="257" t="str">
        <f t="shared" si="81"/>
        <v/>
      </c>
      <c r="EJ19" s="257">
        <f t="shared" si="82"/>
        <v>6.4</v>
      </c>
      <c r="EK19" s="257" t="str">
        <f t="shared" si="83"/>
        <v/>
      </c>
      <c r="EL19" s="257" t="str">
        <f t="shared" si="84"/>
        <v/>
      </c>
      <c r="EM19" s="257" t="str">
        <f t="shared" si="85"/>
        <v/>
      </c>
      <c r="EN19" s="257" t="str">
        <f t="shared" si="86"/>
        <v/>
      </c>
      <c r="EO19" s="257" t="str">
        <f t="shared" si="87"/>
        <v/>
      </c>
      <c r="EP19" s="257">
        <f t="shared" si="88"/>
        <v>5.2</v>
      </c>
      <c r="EQ19" s="257" t="str">
        <f t="shared" si="89"/>
        <v/>
      </c>
      <c r="ER19" s="257">
        <f t="shared" si="90"/>
        <v>6.5</v>
      </c>
      <c r="ES19" s="262">
        <f t="shared" si="10"/>
        <v>5.59</v>
      </c>
      <c r="ET19" s="307">
        <f t="shared" si="91"/>
        <v>4.5599999999999996</v>
      </c>
    </row>
    <row r="20" spans="1:150" s="89" customFormat="1" ht="30" customHeight="1">
      <c r="A20" s="272">
        <f>IF($B20="","",SUBTOTAL(3,$B$11:B20))</f>
        <v>10</v>
      </c>
      <c r="B20" s="457" t="s">
        <v>1807</v>
      </c>
      <c r="C20" s="76" t="str">
        <f>IF($B20="","",VLOOKUP($B20,'DS LOP HKI'!$B$2:$D$951,2,0))</f>
        <v>Trịnh Lê</v>
      </c>
      <c r="D20" s="77" t="str">
        <f>IF($B20="","",VLOOKUP($B20,'DS LOP HKI'!$B$2:$D$951,3,0))</f>
        <v>Cung</v>
      </c>
      <c r="E20" s="78"/>
      <c r="F20" s="79"/>
      <c r="G20" s="80">
        <v>1</v>
      </c>
      <c r="H20" s="81">
        <f>IF(OR($H$6="",$H$7=""),"",IF($B20="","",IF(ISNA(VLOOKUP($B20,'LT01'!$B$11:$M$80,12,FALSE)),"",IF(VLOOKUP($B20,'LT01'!$B$11:$M$80,12,FALSE)="","",VLOOKUP($B20,'LT01'!$B$11:$M$80,12,FALSE)))))</f>
        <v>7.5</v>
      </c>
      <c r="I20" s="82">
        <f>IF(OR($H$6="",$H$7=""),"",IF($B20="","",IF(ISNA(VLOOKUP($B20,'LT01'!$B$11:$N$80,13,FALSE)),"",VLOOKUP($B20,'LT01'!$B$11:$N$80,13,FALSE))))</f>
        <v>7</v>
      </c>
      <c r="J20" s="83"/>
      <c r="K20" s="84" t="str">
        <f>IF(OR($H$6="",$H$7=""),"",IF($B20="","",IF(ISNA(VLOOKUP($B20,'LT01'!$B$11:$Q$80,16,FALSE)),"",IF(VLOOKUP($B20,'LT01'!$B$11:$Q$80,16,FALSE)="","",VLOOKUP($B20,'LT01'!$B$11:$Q$80,16,FALSE)))))</f>
        <v/>
      </c>
      <c r="L20" s="85">
        <f>IF(OR($L$6="",$L$7=""),"",IF($B20="","",IF(ISNA(VLOOKUP($B20,'LT02'!$B$11:$M$80,12,FALSE)),"",IF(VLOOKUP($B20,'LT02'!$B$11:$M$80,12,FALSE)="","",VLOOKUP($B20,'LT02'!$B$11:$M$80,12,FALSE)))))</f>
        <v>7</v>
      </c>
      <c r="M20" s="82">
        <f>IF(OR($L$6="",$L$7=""),"",IF($B20="","",IF(ISNA(VLOOKUP($B20,'LT02'!$B$11:$N$80,13,FALSE)),"",VLOOKUP($B20,'LT02'!$B$11:$N$80,13,FALSE))))</f>
        <v>7</v>
      </c>
      <c r="N20" s="83"/>
      <c r="O20" s="84" t="str">
        <f>IF(OR($L$6="",$L$7=""),"",IF($B20="","",IF(ISNA(VLOOKUP($B20,'LT02'!$B$11:$Q$80,16,FALSE)),"",VLOOKUP($B20,'LT02'!$B$11:$Q$80,16,FALSE))))</f>
        <v/>
      </c>
      <c r="P20" s="85">
        <f>IF(OR($P$6="",$P$7=""),"",IF($B20="","",IF(ISNA(VLOOKUP($B20,'LT03'!$B$11:$M$80,12,FALSE)),"",IF(VLOOKUP($B20,'LT03'!$B$11:$M$80,12,FALSE)="","",VLOOKUP($B20,'LT03'!$B$11:$M$80,12,FALSE)))))</f>
        <v>4.8</v>
      </c>
      <c r="Q20" s="82">
        <f>IF(OR($P$6="",$P$7=""),"",IF($B20="","",IF(ISNA(VLOOKUP($B20,'LT03'!$B$11:$N$80,13,FALSE)),"",VLOOKUP($B20,'LT03'!$B$11:$N$80,13,FALSE))))</f>
        <v>5.8</v>
      </c>
      <c r="R20" s="83"/>
      <c r="S20" s="84" t="str">
        <f>IF(OR($P$6="",$P$7=""),"",IF($B20="","",IF(ISNA(VLOOKUP($B20,'LT03'!$B$11:$Q$80,16,FALSE)),"",VLOOKUP($B20,'LT03'!$B$11:$Q$80,16,FALSE))))</f>
        <v/>
      </c>
      <c r="T20" s="85">
        <f>IF(OR($T$6="",$T$7=""),"",IF($B20="","",IF(ISNA(VLOOKUP($B20,'LT04'!$B$11:$M$80,12,FALSE)),"",IF(VLOOKUP($B20,'LT04'!$B$11:$M$80,12,FALSE)="","",VLOOKUP($B20,'LT04'!$B$11:$M$80,12,FALSE)))))</f>
        <v>8.3000000000000007</v>
      </c>
      <c r="U20" s="82">
        <f>IF(OR($T$6="",$T$7=""),"",IF($B20="","",IF(ISNA(VLOOKUP($B20,'LT04'!$B$11:$N$80,13,FALSE)),"",VLOOKUP($B20,'LT04'!$B$11:$N$80,13,FALSE))))</f>
        <v>8</v>
      </c>
      <c r="V20" s="83"/>
      <c r="W20" s="84" t="str">
        <f>IF(OR($T$6="",$T$7=""),"",IF($B20="","",IF(ISNA(VLOOKUP($B20,'LT04'!$B$11:$Q$80,16,FALSE)),"",VLOOKUP($B20,'LT04'!$B$11:$Q$80,16,FALSE))))</f>
        <v/>
      </c>
      <c r="X20" s="85">
        <f>IF(OR($X$6="",$X$7=""),"",IF($B20="","",IF(ISNA(VLOOKUP($B20,'LT05'!$B$11:$M$80,12,FALSE)),"",IF(VLOOKUP($B20,'LT05'!$B$11:$M$80,12,FALSE)="","",VLOOKUP($B20,'LT05'!$B$11:$M$80,12,FALSE)))))</f>
        <v>2.5</v>
      </c>
      <c r="Y20" s="82">
        <f>IF(OR($X$6="",$X$7=""),"",IF($B20="","",IF(ISNA(VLOOKUP($B20,'LT05'!$B$11:$N$80,13,FALSE)),"",VLOOKUP($B20,'LT05'!$B$11:$N$80,13,FALSE))))</f>
        <v>3.2</v>
      </c>
      <c r="Z20" s="83"/>
      <c r="AA20" s="84" t="str">
        <f>IF(OR($X$6="",$X$7=""),"",IF($B20="","",IF(ISNA(VLOOKUP($B20,'LT05'!$B$11:$Q$80,16,FALSE)),"",VLOOKUP($B20,'LT05'!$B$11:$Q$80,16,FALSE))))</f>
        <v/>
      </c>
      <c r="AB20" s="85" t="str">
        <f>IF(OR($AB$6="",$AB$7=""),"",IF($B20="","",IF(ISNA(VLOOKUP($B20,'LT06'!$B$11:$M$80,12,FALSE)),"",IF(VLOOKUP($B20,'LT06'!$B$11:$M$80,12,FALSE)="","",VLOOKUP($B20,'LT06'!$B$11:$M$80,12,FALSE)))))</f>
        <v/>
      </c>
      <c r="AC20" s="82" t="str">
        <f>IF(OR($AB$6="",$AB$7=""),"",IF($B20="","",IF(ISNA(VLOOKUP($B20,'LT06'!$B$11:$N$80,13,FALSE)),"",VLOOKUP($B20,'LT06'!$B$11:$N$80,13,FALSE))))</f>
        <v/>
      </c>
      <c r="AD20" s="83"/>
      <c r="AE20" s="84" t="str">
        <f>IF(OR($AB$6="",$AB$7=""),"",IF($B20="","",IF(ISNA(VLOOKUP($B20,'LT06'!$B$11:$Q$80,16,FALSE)),"",VLOOKUP($B20,'LT06'!$B$11:$Q$80,16,FALSE))))</f>
        <v/>
      </c>
      <c r="AF20" s="85" t="str">
        <f>IF(OR($AF$6="",$AF$7=""),"",IF($B20="","",IF(ISNA(VLOOKUP($B20,'LT07'!$B$11:$M$80,12,FALSE)),"",IF(VLOOKUP($B20,'LT07'!$B$11:$M$80,12,FALSE)="","",VLOOKUP($B20,'LT07'!$B$11:$M$80,12,FALSE)))))</f>
        <v/>
      </c>
      <c r="AG20" s="82" t="str">
        <f>IF(OR($AF$6="",$AF$7=""),"",IF($B20="","",IF(ISNA(VLOOKUP($B20,'LT07'!$B$11:$N$80,13,FALSE)),"",VLOOKUP($B20,'LT07'!$B$11:$N$80,13,FALSE))))</f>
        <v/>
      </c>
      <c r="AH20" s="83"/>
      <c r="AI20" s="84" t="str">
        <f>IF(OR($AF$6="",$AF$7=""),"",IF($B20="","",IF(ISNA(VLOOKUP($B20,'LT07'!$B$11:$Q$80,16,FALSE)),"",VLOOKUP($B20,'LT07'!$B$11:$Q$80,16,FALSE))))</f>
        <v/>
      </c>
      <c r="AJ20" s="304"/>
      <c r="AK20" s="82" t="str">
        <f>IF(OR($AJ$6="",$AJ$7=""),"",IF($B20="","",IF(ISNA(VLOOKUP($B20,'DO AN'!$B$11:$L$80,11,FALSE)),"",IF(VLOOKUP($B20,'DO AN'!$B$11:$L$80,11,FALSE)="","",VLOOKUP($B20,'DO AN'!$B$11:$L$80,11,FALSE)))))</f>
        <v/>
      </c>
      <c r="AL20" s="83"/>
      <c r="AM20" s="451"/>
      <c r="AN20" s="83"/>
      <c r="AO20" s="82" t="str">
        <f>IF(OR($AN$6="",$AN$7=""),"",IF($B20="","",IF(ISNA(VLOOKUP($B20,'DO AN 2'!$B$11:$L$80,11,FALSE)),"",IF(VLOOKUP($B20,'DO AN 2'!$B$11:$L$80,11,FALSE)="","",VLOOKUP($B20,'DO AN 2'!$B$11:$L$80,11,FALSE)))))</f>
        <v/>
      </c>
      <c r="AP20" s="83"/>
      <c r="AQ20" s="83"/>
      <c r="AR20" s="454"/>
      <c r="AS20" s="82">
        <f>IF(OR($AR$6="",$AR$7=""),"",IF($B20="","",IF(ISNA(VLOOKUP($B20,'TH01'!$B$11:$O$80,14,FALSE)),"",VLOOKUP($B20,'TH01'!$B$11:$O$80,14,FALSE))))</f>
        <v>7.2</v>
      </c>
      <c r="AT20" s="83"/>
      <c r="AU20" s="303"/>
      <c r="AV20" s="304"/>
      <c r="AW20" s="82">
        <f>IF(OR($AV$6="",$AV$7=""),"",IF($B20="","",IF(ISNA(VLOOKUP($B20,'TH02'!$B$11:$O$80,14,FALSE)),"",VLOOKUP($B20,'TH02'!$B$11:$O$80,14,FALSE))))</f>
        <v>6</v>
      </c>
      <c r="AX20" s="83"/>
      <c r="AY20" s="303"/>
      <c r="AZ20" s="304"/>
      <c r="BA20" s="82">
        <f>IF(OR($AZ$6="",$AZ$7=""),"",IF($B20="","",IF(ISNA(VLOOKUP($B20,'TH03'!$B$11:$O$80,14,FALSE)),"",VLOOKUP($B20,'TH03'!$B$11:$O$80,14,FALSE))))</f>
        <v>7.3</v>
      </c>
      <c r="BB20" s="83"/>
      <c r="BC20" s="303"/>
      <c r="BD20" s="86">
        <f t="shared" si="11"/>
        <v>6.29</v>
      </c>
      <c r="BE20" s="86" t="str">
        <f t="shared" si="12"/>
        <v/>
      </c>
      <c r="BF20" s="87">
        <v>61</v>
      </c>
      <c r="BG20" s="88" t="str">
        <f t="shared" si="0"/>
        <v>T.Bình</v>
      </c>
      <c r="BH20" s="88" t="str">
        <f t="shared" si="1"/>
        <v/>
      </c>
      <c r="BI20" s="87"/>
      <c r="BJ20" s="86" t="str">
        <f t="shared" si="2"/>
        <v/>
      </c>
      <c r="BK20" s="265">
        <f t="shared" si="3"/>
        <v>15</v>
      </c>
      <c r="BL20" s="88">
        <f t="shared" si="4"/>
        <v>3</v>
      </c>
      <c r="BM20" s="88">
        <f t="shared" si="5"/>
        <v>15</v>
      </c>
      <c r="BN20" s="88">
        <f t="shared" si="6"/>
        <v>3</v>
      </c>
      <c r="BO20" s="86">
        <f t="shared" si="13"/>
        <v>6.91</v>
      </c>
      <c r="BP20" s="86" t="str">
        <f t="shared" si="7"/>
        <v>BT</v>
      </c>
      <c r="BQ20" s="86">
        <f t="shared" si="14"/>
        <v>6.91</v>
      </c>
      <c r="BR20" s="86" t="str">
        <f t="shared" si="8"/>
        <v>BT</v>
      </c>
      <c r="BS20" s="87"/>
      <c r="BT20" s="276">
        <f t="shared" si="15"/>
        <v>2</v>
      </c>
      <c r="BU20" s="238">
        <f t="shared" si="16"/>
        <v>7.5</v>
      </c>
      <c r="BV20" s="238">
        <f t="shared" si="17"/>
        <v>7</v>
      </c>
      <c r="BW20" s="238">
        <f t="shared" si="18"/>
        <v>4.8</v>
      </c>
      <c r="BX20" s="238">
        <f t="shared" si="19"/>
        <v>8.3000000000000007</v>
      </c>
      <c r="BY20" s="238">
        <f t="shared" si="20"/>
        <v>2.5</v>
      </c>
      <c r="BZ20" s="238" t="str">
        <f t="shared" si="21"/>
        <v/>
      </c>
      <c r="CA20" s="238" t="str">
        <f t="shared" si="22"/>
        <v/>
      </c>
      <c r="CB20" s="238" t="str">
        <f t="shared" si="23"/>
        <v/>
      </c>
      <c r="CC20" s="238" t="str">
        <f t="shared" si="24"/>
        <v/>
      </c>
      <c r="CD20" s="238">
        <f t="shared" si="25"/>
        <v>7.2</v>
      </c>
      <c r="CE20" s="238">
        <f t="shared" si="26"/>
        <v>6</v>
      </c>
      <c r="CF20" s="238">
        <f t="shared" si="27"/>
        <v>7.3</v>
      </c>
      <c r="CG20" s="239">
        <f t="shared" si="28"/>
        <v>1</v>
      </c>
      <c r="CH20" s="238">
        <f t="shared" si="29"/>
        <v>7</v>
      </c>
      <c r="CI20" s="238">
        <f t="shared" si="30"/>
        <v>7</v>
      </c>
      <c r="CJ20" s="238">
        <f t="shared" si="31"/>
        <v>5.8</v>
      </c>
      <c r="CK20" s="238">
        <f t="shared" si="32"/>
        <v>8</v>
      </c>
      <c r="CL20" s="238">
        <f t="shared" si="33"/>
        <v>3.2</v>
      </c>
      <c r="CM20" s="238" t="str">
        <f t="shared" si="34"/>
        <v/>
      </c>
      <c r="CN20" s="238" t="str">
        <f t="shared" si="35"/>
        <v/>
      </c>
      <c r="CO20" s="238" t="str">
        <f t="shared" si="36"/>
        <v/>
      </c>
      <c r="CP20" s="238" t="str">
        <f t="shared" si="37"/>
        <v/>
      </c>
      <c r="CQ20" s="238">
        <f t="shared" si="38"/>
        <v>7.2</v>
      </c>
      <c r="CR20" s="238">
        <f t="shared" si="39"/>
        <v>6</v>
      </c>
      <c r="CS20" s="238">
        <f t="shared" si="40"/>
        <v>7.3</v>
      </c>
      <c r="CT20" s="240">
        <f t="shared" si="41"/>
        <v>6.29</v>
      </c>
      <c r="CU20" s="241">
        <f t="shared" si="42"/>
        <v>7</v>
      </c>
      <c r="CV20" s="241">
        <f t="shared" si="43"/>
        <v>7</v>
      </c>
      <c r="CW20" s="241">
        <f t="shared" si="44"/>
        <v>5.8</v>
      </c>
      <c r="CX20" s="241">
        <f t="shared" si="45"/>
        <v>8</v>
      </c>
      <c r="CY20" s="241" t="str">
        <f t="shared" si="46"/>
        <v/>
      </c>
      <c r="CZ20" s="241" t="str">
        <f t="shared" si="47"/>
        <v/>
      </c>
      <c r="DA20" s="241" t="str">
        <f t="shared" si="48"/>
        <v/>
      </c>
      <c r="DB20" s="241" t="str">
        <f t="shared" si="49"/>
        <v/>
      </c>
      <c r="DC20" s="241" t="str">
        <f t="shared" si="50"/>
        <v/>
      </c>
      <c r="DD20" s="241">
        <f t="shared" si="51"/>
        <v>7.2</v>
      </c>
      <c r="DE20" s="241">
        <f t="shared" si="52"/>
        <v>6</v>
      </c>
      <c r="DF20" s="241">
        <f t="shared" si="53"/>
        <v>7.3</v>
      </c>
      <c r="DG20" s="242">
        <f t="shared" si="9"/>
        <v>6.91</v>
      </c>
      <c r="DH20" s="82" t="str">
        <f t="shared" si="54"/>
        <v/>
      </c>
      <c r="DI20" s="82" t="str">
        <f t="shared" si="55"/>
        <v/>
      </c>
      <c r="DJ20" s="82" t="str">
        <f t="shared" si="56"/>
        <v/>
      </c>
      <c r="DK20" s="82" t="str">
        <f t="shared" si="57"/>
        <v/>
      </c>
      <c r="DL20" s="82" t="str">
        <f t="shared" si="58"/>
        <v/>
      </c>
      <c r="DM20" s="82" t="str">
        <f t="shared" si="59"/>
        <v/>
      </c>
      <c r="DN20" s="82" t="str">
        <f t="shared" si="60"/>
        <v/>
      </c>
      <c r="DO20" s="82" t="str">
        <f t="shared" si="61"/>
        <v/>
      </c>
      <c r="DP20" s="82" t="str">
        <f t="shared" si="62"/>
        <v/>
      </c>
      <c r="DQ20" s="82" t="str">
        <f t="shared" si="63"/>
        <v/>
      </c>
      <c r="DR20" s="82" t="str">
        <f t="shared" si="64"/>
        <v/>
      </c>
      <c r="DS20" s="253" t="str">
        <f t="shared" si="65"/>
        <v/>
      </c>
      <c r="DT20" s="250">
        <f t="shared" si="66"/>
        <v>7</v>
      </c>
      <c r="DU20" s="238">
        <f t="shared" si="67"/>
        <v>7</v>
      </c>
      <c r="DV20" s="238">
        <f t="shared" si="68"/>
        <v>5.8</v>
      </c>
      <c r="DW20" s="238">
        <f t="shared" si="69"/>
        <v>8</v>
      </c>
      <c r="DX20" s="238">
        <f t="shared" si="70"/>
        <v>3.2</v>
      </c>
      <c r="DY20" s="238" t="str">
        <f t="shared" si="71"/>
        <v/>
      </c>
      <c r="DZ20" s="238" t="str">
        <f t="shared" si="72"/>
        <v/>
      </c>
      <c r="EA20" s="238" t="str">
        <f t="shared" si="73"/>
        <v/>
      </c>
      <c r="EB20" s="238" t="str">
        <f t="shared" si="74"/>
        <v/>
      </c>
      <c r="EC20" s="238">
        <f t="shared" si="75"/>
        <v>7.2</v>
      </c>
      <c r="ED20" s="238">
        <f t="shared" si="76"/>
        <v>6</v>
      </c>
      <c r="EE20" s="238">
        <f t="shared" si="77"/>
        <v>7.3</v>
      </c>
      <c r="EF20" s="255" t="str">
        <f t="shared" si="78"/>
        <v/>
      </c>
      <c r="EG20" s="257">
        <f t="shared" si="79"/>
        <v>7</v>
      </c>
      <c r="EH20" s="257">
        <f t="shared" si="80"/>
        <v>7</v>
      </c>
      <c r="EI20" s="257">
        <f t="shared" si="81"/>
        <v>5.8</v>
      </c>
      <c r="EJ20" s="257">
        <f t="shared" si="82"/>
        <v>8</v>
      </c>
      <c r="EK20" s="257" t="str">
        <f t="shared" si="83"/>
        <v/>
      </c>
      <c r="EL20" s="257" t="str">
        <f t="shared" si="84"/>
        <v/>
      </c>
      <c r="EM20" s="257" t="str">
        <f t="shared" si="85"/>
        <v/>
      </c>
      <c r="EN20" s="257" t="str">
        <f t="shared" si="86"/>
        <v/>
      </c>
      <c r="EO20" s="257" t="str">
        <f t="shared" si="87"/>
        <v/>
      </c>
      <c r="EP20" s="257">
        <f t="shared" si="88"/>
        <v>7.2</v>
      </c>
      <c r="EQ20" s="257">
        <f t="shared" si="89"/>
        <v>6</v>
      </c>
      <c r="ER20" s="257">
        <f t="shared" si="90"/>
        <v>7.3</v>
      </c>
      <c r="ES20" s="262">
        <f t="shared" si="10"/>
        <v>6.91</v>
      </c>
      <c r="ET20" s="307">
        <f t="shared" si="91"/>
        <v>6.29</v>
      </c>
    </row>
    <row r="21" spans="1:150" s="89" customFormat="1" ht="30" customHeight="1">
      <c r="A21" s="272">
        <f>IF($B21="","",SUBTOTAL(3,$B$11:B21))</f>
        <v>11</v>
      </c>
      <c r="B21" s="457" t="s">
        <v>1560</v>
      </c>
      <c r="C21" s="76" t="str">
        <f>IF($B21="","",VLOOKUP($B21,'DS LOP HKI'!$B$2:$D$951,2,0))</f>
        <v>Nguyễn Chí</v>
      </c>
      <c r="D21" s="77" t="str">
        <f>IF($B21="","",VLOOKUP($B21,'DS LOP HKI'!$B$2:$D$951,3,0))</f>
        <v>Cường</v>
      </c>
      <c r="E21" s="78"/>
      <c r="F21" s="79"/>
      <c r="G21" s="80"/>
      <c r="H21" s="81">
        <f>IF(OR($H$6="",$H$7=""),"",IF($B21="","",IF(ISNA(VLOOKUP($B21,'LT01'!$B$11:$M$80,12,FALSE)),"",IF(VLOOKUP($B21,'LT01'!$B$11:$M$80,12,FALSE)="","",VLOOKUP($B21,'LT01'!$B$11:$M$80,12,FALSE)))))</f>
        <v>7.5</v>
      </c>
      <c r="I21" s="82">
        <f>IF(OR($H$6="",$H$7=""),"",IF($B21="","",IF(ISNA(VLOOKUP($B21,'LT01'!$B$11:$N$80,13,FALSE)),"",VLOOKUP($B21,'LT01'!$B$11:$N$80,13,FALSE))))</f>
        <v>7.6</v>
      </c>
      <c r="J21" s="83"/>
      <c r="K21" s="84" t="str">
        <f>IF(OR($H$6="",$H$7=""),"",IF($B21="","",IF(ISNA(VLOOKUP($B21,'LT01'!$B$11:$Q$80,16,FALSE)),"",IF(VLOOKUP($B21,'LT01'!$B$11:$Q$80,16,FALSE)="","",VLOOKUP($B21,'LT01'!$B$11:$Q$80,16,FALSE)))))</f>
        <v/>
      </c>
      <c r="L21" s="85">
        <f>IF(OR($L$6="",$L$7=""),"",IF($B21="","",IF(ISNA(VLOOKUP($B21,'LT02'!$B$11:$M$80,12,FALSE)),"",IF(VLOOKUP($B21,'LT02'!$B$11:$M$80,12,FALSE)="","",VLOOKUP($B21,'LT02'!$B$11:$M$80,12,FALSE)))))</f>
        <v>6</v>
      </c>
      <c r="M21" s="82">
        <f>IF(OR($L$6="",$L$7=""),"",IF($B21="","",IF(ISNA(VLOOKUP($B21,'LT02'!$B$11:$N$80,13,FALSE)),"",VLOOKUP($B21,'LT02'!$B$11:$N$80,13,FALSE))))</f>
        <v>5.6</v>
      </c>
      <c r="N21" s="83"/>
      <c r="O21" s="84" t="str">
        <f>IF(OR($L$6="",$L$7=""),"",IF($B21="","",IF(ISNA(VLOOKUP($B21,'LT02'!$B$11:$Q$80,16,FALSE)),"",VLOOKUP($B21,'LT02'!$B$11:$Q$80,16,FALSE))))</f>
        <v/>
      </c>
      <c r="P21" s="85">
        <f>IF(OR($P$6="",$P$7=""),"",IF($B21="","",IF(ISNA(VLOOKUP($B21,'LT03'!$B$11:$M$80,12,FALSE)),"",IF(VLOOKUP($B21,'LT03'!$B$11:$M$80,12,FALSE)="","",VLOOKUP($B21,'LT03'!$B$11:$M$80,12,FALSE)))))</f>
        <v>6.5</v>
      </c>
      <c r="Q21" s="82">
        <f>IF(OR($P$6="",$P$7=""),"",IF($B21="","",IF(ISNA(VLOOKUP($B21,'LT03'!$B$11:$N$80,13,FALSE)),"",VLOOKUP($B21,'LT03'!$B$11:$N$80,13,FALSE))))</f>
        <v>6</v>
      </c>
      <c r="R21" s="83"/>
      <c r="S21" s="84" t="str">
        <f>IF(OR($P$6="",$P$7=""),"",IF($B21="","",IF(ISNA(VLOOKUP($B21,'LT03'!$B$11:$Q$80,16,FALSE)),"",VLOOKUP($B21,'LT03'!$B$11:$Q$80,16,FALSE))))</f>
        <v/>
      </c>
      <c r="T21" s="85">
        <f>IF(OR($T$6="",$T$7=""),"",IF($B21="","",IF(ISNA(VLOOKUP($B21,'LT04'!$B$11:$M$80,12,FALSE)),"",IF(VLOOKUP($B21,'LT04'!$B$11:$M$80,12,FALSE)="","",VLOOKUP($B21,'LT04'!$B$11:$M$80,12,FALSE)))))</f>
        <v>7.5</v>
      </c>
      <c r="U21" s="82">
        <f>IF(OR($T$6="",$T$7=""),"",IF($B21="","",IF(ISNA(VLOOKUP($B21,'LT04'!$B$11:$N$80,13,FALSE)),"",VLOOKUP($B21,'LT04'!$B$11:$N$80,13,FALSE))))</f>
        <v>7.4</v>
      </c>
      <c r="V21" s="83"/>
      <c r="W21" s="84" t="str">
        <f>IF(OR($T$6="",$T$7=""),"",IF($B21="","",IF(ISNA(VLOOKUP($B21,'LT04'!$B$11:$Q$80,16,FALSE)),"",VLOOKUP($B21,'LT04'!$B$11:$Q$80,16,FALSE))))</f>
        <v/>
      </c>
      <c r="X21" s="85">
        <f>IF(OR($X$6="",$X$7=""),"",IF($B21="","",IF(ISNA(VLOOKUP($B21,'LT05'!$B$11:$M$80,12,FALSE)),"",IF(VLOOKUP($B21,'LT05'!$B$11:$M$80,12,FALSE)="","",VLOOKUP($B21,'LT05'!$B$11:$M$80,12,FALSE)))))</f>
        <v>3.3</v>
      </c>
      <c r="Y21" s="82">
        <f>IF(OR($X$6="",$X$7=""),"",IF($B21="","",IF(ISNA(VLOOKUP($B21,'LT05'!$B$11:$N$80,13,FALSE)),"",VLOOKUP($B21,'LT05'!$B$11:$N$80,13,FALSE))))</f>
        <v>4.2</v>
      </c>
      <c r="Z21" s="83"/>
      <c r="AA21" s="84" t="str">
        <f>IF(OR($X$6="",$X$7=""),"",IF($B21="","",IF(ISNA(VLOOKUP($B21,'LT05'!$B$11:$Q$80,16,FALSE)),"",VLOOKUP($B21,'LT05'!$B$11:$Q$80,16,FALSE))))</f>
        <v/>
      </c>
      <c r="AB21" s="85" t="str">
        <f>IF(OR($AB$6="",$AB$7=""),"",IF($B21="","",IF(ISNA(VLOOKUP($B21,'LT06'!$B$11:$M$80,12,FALSE)),"",IF(VLOOKUP($B21,'LT06'!$B$11:$M$80,12,FALSE)="","",VLOOKUP($B21,'LT06'!$B$11:$M$80,12,FALSE)))))</f>
        <v/>
      </c>
      <c r="AC21" s="82" t="str">
        <f>IF(OR($AB$6="",$AB$7=""),"",IF($B21="","",IF(ISNA(VLOOKUP($B21,'LT06'!$B$11:$N$80,13,FALSE)),"",VLOOKUP($B21,'LT06'!$B$11:$N$80,13,FALSE))))</f>
        <v/>
      </c>
      <c r="AD21" s="83"/>
      <c r="AE21" s="84" t="str">
        <f>IF(OR($AB$6="",$AB$7=""),"",IF($B21="","",IF(ISNA(VLOOKUP($B21,'LT06'!$B$11:$Q$80,16,FALSE)),"",VLOOKUP($B21,'LT06'!$B$11:$Q$80,16,FALSE))))</f>
        <v/>
      </c>
      <c r="AF21" s="85" t="str">
        <f>IF(OR($AF$6="",$AF$7=""),"",IF($B21="","",IF(ISNA(VLOOKUP($B21,'LT07'!$B$11:$M$80,12,FALSE)),"",IF(VLOOKUP($B21,'LT07'!$B$11:$M$80,12,FALSE)="","",VLOOKUP($B21,'LT07'!$B$11:$M$80,12,FALSE)))))</f>
        <v/>
      </c>
      <c r="AG21" s="82" t="str">
        <f>IF(OR($AF$6="",$AF$7=""),"",IF($B21="","",IF(ISNA(VLOOKUP($B21,'LT07'!$B$11:$N$80,13,FALSE)),"",VLOOKUP($B21,'LT07'!$B$11:$N$80,13,FALSE))))</f>
        <v/>
      </c>
      <c r="AH21" s="83"/>
      <c r="AI21" s="84" t="str">
        <f>IF(OR($AF$6="",$AF$7=""),"",IF($B21="","",IF(ISNA(VLOOKUP($B21,'LT07'!$B$11:$Q$80,16,FALSE)),"",VLOOKUP($B21,'LT07'!$B$11:$Q$80,16,FALSE))))</f>
        <v/>
      </c>
      <c r="AJ21" s="304"/>
      <c r="AK21" s="82" t="str">
        <f>IF(OR($AJ$6="",$AJ$7=""),"",IF($B21="","",IF(ISNA(VLOOKUP($B21,'DO AN'!$B$11:$L$80,11,FALSE)),"",IF(VLOOKUP($B21,'DO AN'!$B$11:$L$80,11,FALSE)="","",VLOOKUP($B21,'DO AN'!$B$11:$L$80,11,FALSE)))))</f>
        <v/>
      </c>
      <c r="AL21" s="83"/>
      <c r="AM21" s="451"/>
      <c r="AN21" s="83"/>
      <c r="AO21" s="82" t="str">
        <f>IF(OR($AN$6="",$AN$7=""),"",IF($B21="","",IF(ISNA(VLOOKUP($B21,'DO AN 2'!$B$11:$L$80,11,FALSE)),"",IF(VLOOKUP($B21,'DO AN 2'!$B$11:$L$80,11,FALSE)="","",VLOOKUP($B21,'DO AN 2'!$B$11:$L$80,11,FALSE)))))</f>
        <v/>
      </c>
      <c r="AP21" s="83"/>
      <c r="AQ21" s="83"/>
      <c r="AR21" s="454"/>
      <c r="AS21" s="82">
        <f>IF(OR($AR$6="",$AR$7=""),"",IF($B21="","",IF(ISNA(VLOOKUP($B21,'TH01'!$B$11:$O$80,14,FALSE)),"",VLOOKUP($B21,'TH01'!$B$11:$O$80,14,FALSE))))</f>
        <v>6.4</v>
      </c>
      <c r="AT21" s="83"/>
      <c r="AU21" s="303"/>
      <c r="AV21" s="304"/>
      <c r="AW21" s="82">
        <f>IF(OR($AV$6="",$AV$7=""),"",IF($B21="","",IF(ISNA(VLOOKUP($B21,'TH02'!$B$11:$O$80,14,FALSE)),"",VLOOKUP($B21,'TH02'!$B$11:$O$80,14,FALSE))))</f>
        <v>4.5</v>
      </c>
      <c r="AX21" s="83"/>
      <c r="AY21" s="303"/>
      <c r="AZ21" s="304"/>
      <c r="BA21" s="82">
        <f>IF(OR($AZ$6="",$AZ$7=""),"",IF($B21="","",IF(ISNA(VLOOKUP($B21,'TH03'!$B$11:$O$80,14,FALSE)),"",VLOOKUP($B21,'TH03'!$B$11:$O$80,14,FALSE))))</f>
        <v>6.8</v>
      </c>
      <c r="BB21" s="83"/>
      <c r="BC21" s="303"/>
      <c r="BD21" s="86">
        <f t="shared" si="11"/>
        <v>6.04</v>
      </c>
      <c r="BE21" s="86" t="str">
        <f t="shared" si="12"/>
        <v/>
      </c>
      <c r="BF21" s="87">
        <v>62</v>
      </c>
      <c r="BG21" s="88" t="str">
        <f t="shared" si="0"/>
        <v>T.Bình</v>
      </c>
      <c r="BH21" s="88" t="str">
        <f t="shared" si="1"/>
        <v/>
      </c>
      <c r="BI21" s="87"/>
      <c r="BJ21" s="86" t="str">
        <f t="shared" si="2"/>
        <v/>
      </c>
      <c r="BK21" s="265">
        <f t="shared" si="3"/>
        <v>18</v>
      </c>
      <c r="BL21" s="88">
        <f t="shared" si="4"/>
        <v>0</v>
      </c>
      <c r="BM21" s="88">
        <f t="shared" si="5"/>
        <v>18</v>
      </c>
      <c r="BN21" s="88">
        <f t="shared" si="6"/>
        <v>0</v>
      </c>
      <c r="BO21" s="86">
        <f t="shared" si="13"/>
        <v>6.04</v>
      </c>
      <c r="BP21" s="86" t="str">
        <f t="shared" si="7"/>
        <v>BT</v>
      </c>
      <c r="BQ21" s="86">
        <f t="shared" si="14"/>
        <v>6.04</v>
      </c>
      <c r="BR21" s="86" t="str">
        <f t="shared" si="8"/>
        <v>BT</v>
      </c>
      <c r="BS21" s="87"/>
      <c r="BT21" s="276">
        <f t="shared" si="15"/>
        <v>2</v>
      </c>
      <c r="BU21" s="238">
        <f t="shared" si="16"/>
        <v>7.5</v>
      </c>
      <c r="BV21" s="238">
        <f t="shared" si="17"/>
        <v>6</v>
      </c>
      <c r="BW21" s="238">
        <f t="shared" si="18"/>
        <v>6.5</v>
      </c>
      <c r="BX21" s="238">
        <f t="shared" si="19"/>
        <v>7.5</v>
      </c>
      <c r="BY21" s="238">
        <f t="shared" si="20"/>
        <v>3.3</v>
      </c>
      <c r="BZ21" s="238" t="str">
        <f t="shared" si="21"/>
        <v/>
      </c>
      <c r="CA21" s="238" t="str">
        <f t="shared" si="22"/>
        <v/>
      </c>
      <c r="CB21" s="238" t="str">
        <f t="shared" si="23"/>
        <v/>
      </c>
      <c r="CC21" s="238" t="str">
        <f t="shared" si="24"/>
        <v/>
      </c>
      <c r="CD21" s="238">
        <f t="shared" si="25"/>
        <v>6.4</v>
      </c>
      <c r="CE21" s="238">
        <f t="shared" si="26"/>
        <v>4.5</v>
      </c>
      <c r="CF21" s="238">
        <f t="shared" si="27"/>
        <v>6.8</v>
      </c>
      <c r="CG21" s="239">
        <f t="shared" si="28"/>
        <v>0</v>
      </c>
      <c r="CH21" s="238">
        <f t="shared" si="29"/>
        <v>7.6</v>
      </c>
      <c r="CI21" s="238">
        <f t="shared" si="30"/>
        <v>5.6</v>
      </c>
      <c r="CJ21" s="238">
        <f t="shared" si="31"/>
        <v>6</v>
      </c>
      <c r="CK21" s="238">
        <f t="shared" si="32"/>
        <v>7.4</v>
      </c>
      <c r="CL21" s="238">
        <f t="shared" si="33"/>
        <v>4.2</v>
      </c>
      <c r="CM21" s="238" t="str">
        <f t="shared" si="34"/>
        <v/>
      </c>
      <c r="CN21" s="238" t="str">
        <f t="shared" si="35"/>
        <v/>
      </c>
      <c r="CO21" s="238" t="str">
        <f t="shared" si="36"/>
        <v/>
      </c>
      <c r="CP21" s="238" t="str">
        <f t="shared" si="37"/>
        <v/>
      </c>
      <c r="CQ21" s="238">
        <f t="shared" si="38"/>
        <v>6.4</v>
      </c>
      <c r="CR21" s="238">
        <f t="shared" si="39"/>
        <v>4.5</v>
      </c>
      <c r="CS21" s="238">
        <f t="shared" si="40"/>
        <v>6.8</v>
      </c>
      <c r="CT21" s="240">
        <f t="shared" si="41"/>
        <v>6.04</v>
      </c>
      <c r="CU21" s="241">
        <f t="shared" si="42"/>
        <v>7.6</v>
      </c>
      <c r="CV21" s="241">
        <f t="shared" si="43"/>
        <v>5.6</v>
      </c>
      <c r="CW21" s="241">
        <f t="shared" si="44"/>
        <v>6</v>
      </c>
      <c r="CX21" s="241">
        <f t="shared" si="45"/>
        <v>7.4</v>
      </c>
      <c r="CY21" s="241">
        <f t="shared" si="46"/>
        <v>4.2</v>
      </c>
      <c r="CZ21" s="241" t="str">
        <f t="shared" si="47"/>
        <v/>
      </c>
      <c r="DA21" s="241" t="str">
        <f t="shared" si="48"/>
        <v/>
      </c>
      <c r="DB21" s="241" t="str">
        <f t="shared" si="49"/>
        <v/>
      </c>
      <c r="DC21" s="241" t="str">
        <f t="shared" si="50"/>
        <v/>
      </c>
      <c r="DD21" s="241">
        <f t="shared" si="51"/>
        <v>6.4</v>
      </c>
      <c r="DE21" s="241">
        <f t="shared" si="52"/>
        <v>4.5</v>
      </c>
      <c r="DF21" s="241">
        <f t="shared" si="53"/>
        <v>6.8</v>
      </c>
      <c r="DG21" s="242">
        <f t="shared" si="9"/>
        <v>6.04</v>
      </c>
      <c r="DH21" s="82" t="str">
        <f t="shared" si="54"/>
        <v/>
      </c>
      <c r="DI21" s="82" t="str">
        <f t="shared" si="55"/>
        <v/>
      </c>
      <c r="DJ21" s="82" t="str">
        <f t="shared" si="56"/>
        <v/>
      </c>
      <c r="DK21" s="82" t="str">
        <f t="shared" si="57"/>
        <v/>
      </c>
      <c r="DL21" s="82" t="str">
        <f t="shared" si="58"/>
        <v/>
      </c>
      <c r="DM21" s="82" t="str">
        <f t="shared" si="59"/>
        <v/>
      </c>
      <c r="DN21" s="82" t="str">
        <f t="shared" si="60"/>
        <v/>
      </c>
      <c r="DO21" s="82" t="str">
        <f t="shared" si="61"/>
        <v/>
      </c>
      <c r="DP21" s="82" t="str">
        <f t="shared" si="62"/>
        <v/>
      </c>
      <c r="DQ21" s="82" t="str">
        <f t="shared" si="63"/>
        <v/>
      </c>
      <c r="DR21" s="82" t="str">
        <f t="shared" si="64"/>
        <v/>
      </c>
      <c r="DS21" s="253" t="str">
        <f t="shared" si="65"/>
        <v/>
      </c>
      <c r="DT21" s="250">
        <f t="shared" si="66"/>
        <v>7.6</v>
      </c>
      <c r="DU21" s="238">
        <f t="shared" si="67"/>
        <v>5.6</v>
      </c>
      <c r="DV21" s="238">
        <f t="shared" si="68"/>
        <v>6</v>
      </c>
      <c r="DW21" s="238">
        <f t="shared" si="69"/>
        <v>7.4</v>
      </c>
      <c r="DX21" s="238">
        <f t="shared" si="70"/>
        <v>4.2</v>
      </c>
      <c r="DY21" s="238" t="str">
        <f t="shared" si="71"/>
        <v/>
      </c>
      <c r="DZ21" s="238" t="str">
        <f t="shared" si="72"/>
        <v/>
      </c>
      <c r="EA21" s="238" t="str">
        <f t="shared" si="73"/>
        <v/>
      </c>
      <c r="EB21" s="238" t="str">
        <f t="shared" si="74"/>
        <v/>
      </c>
      <c r="EC21" s="238">
        <f t="shared" si="75"/>
        <v>6.4</v>
      </c>
      <c r="ED21" s="238">
        <f t="shared" si="76"/>
        <v>4.5</v>
      </c>
      <c r="EE21" s="238">
        <f t="shared" si="77"/>
        <v>6.8</v>
      </c>
      <c r="EF21" s="255" t="str">
        <f t="shared" si="78"/>
        <v/>
      </c>
      <c r="EG21" s="257">
        <f t="shared" si="79"/>
        <v>7.6</v>
      </c>
      <c r="EH21" s="257">
        <f t="shared" si="80"/>
        <v>5.6</v>
      </c>
      <c r="EI21" s="257">
        <f t="shared" si="81"/>
        <v>6</v>
      </c>
      <c r="EJ21" s="257">
        <f t="shared" si="82"/>
        <v>7.4</v>
      </c>
      <c r="EK21" s="257">
        <f t="shared" si="83"/>
        <v>4.2</v>
      </c>
      <c r="EL21" s="257" t="str">
        <f t="shared" si="84"/>
        <v/>
      </c>
      <c r="EM21" s="257" t="str">
        <f t="shared" si="85"/>
        <v/>
      </c>
      <c r="EN21" s="257" t="str">
        <f t="shared" si="86"/>
        <v/>
      </c>
      <c r="EO21" s="257" t="str">
        <f t="shared" si="87"/>
        <v/>
      </c>
      <c r="EP21" s="257">
        <f t="shared" si="88"/>
        <v>6.4</v>
      </c>
      <c r="EQ21" s="257">
        <f t="shared" si="89"/>
        <v>4.5</v>
      </c>
      <c r="ER21" s="257">
        <f t="shared" si="90"/>
        <v>6.8</v>
      </c>
      <c r="ES21" s="262">
        <f t="shared" si="10"/>
        <v>6.04</v>
      </c>
      <c r="ET21" s="307">
        <f t="shared" si="91"/>
        <v>6.04</v>
      </c>
    </row>
    <row r="22" spans="1:150" s="89" customFormat="1" ht="30" customHeight="1">
      <c r="A22" s="272">
        <f>IF($B22="","",SUBTOTAL(3,$B$11:B22))</f>
        <v>12</v>
      </c>
      <c r="B22" s="457" t="s">
        <v>1563</v>
      </c>
      <c r="C22" s="76" t="str">
        <f>IF($B22="","",VLOOKUP($B22,'DS LOP HKI'!$B$2:$D$951,2,0))</f>
        <v xml:space="preserve">Trương Văn </v>
      </c>
      <c r="D22" s="77" t="str">
        <f>IF($B22="","",VLOOKUP($B22,'DS LOP HKI'!$B$2:$D$951,3,0))</f>
        <v>Đạt</v>
      </c>
      <c r="E22" s="78"/>
      <c r="F22" s="79"/>
      <c r="G22" s="80">
        <v>1</v>
      </c>
      <c r="H22" s="81">
        <f>IF(OR($H$6="",$H$7=""),"",IF($B22="","",IF(ISNA(VLOOKUP($B22,'LT01'!$B$11:$M$80,12,FALSE)),"",IF(VLOOKUP($B22,'LT01'!$B$11:$M$80,12,FALSE)="","",VLOOKUP($B22,'LT01'!$B$11:$M$80,12,FALSE)))))</f>
        <v>7</v>
      </c>
      <c r="I22" s="82">
        <f>IF(OR($H$6="",$H$7=""),"",IF($B22="","",IF(ISNA(VLOOKUP($B22,'LT01'!$B$11:$N$80,13,FALSE)),"",VLOOKUP($B22,'LT01'!$B$11:$N$80,13,FALSE))))</f>
        <v>7.3</v>
      </c>
      <c r="J22" s="83"/>
      <c r="K22" s="84" t="str">
        <f>IF(OR($H$6="",$H$7=""),"",IF($B22="","",IF(ISNA(VLOOKUP($B22,'LT01'!$B$11:$Q$80,16,FALSE)),"",IF(VLOOKUP($B22,'LT01'!$B$11:$Q$80,16,FALSE)="","",VLOOKUP($B22,'LT01'!$B$11:$Q$80,16,FALSE)))))</f>
        <v/>
      </c>
      <c r="L22" s="85">
        <f>IF(OR($L$6="",$L$7=""),"",IF($B22="","",IF(ISNA(VLOOKUP($B22,'LT02'!$B$11:$M$80,12,FALSE)),"",IF(VLOOKUP($B22,'LT02'!$B$11:$M$80,12,FALSE)="","",VLOOKUP($B22,'LT02'!$B$11:$M$80,12,FALSE)))))</f>
        <v>6.8</v>
      </c>
      <c r="M22" s="82">
        <f>IF(OR($L$6="",$L$7=""),"",IF($B22="","",IF(ISNA(VLOOKUP($B22,'LT02'!$B$11:$N$80,13,FALSE)),"",VLOOKUP($B22,'LT02'!$B$11:$N$80,13,FALSE))))</f>
        <v>6</v>
      </c>
      <c r="N22" s="83"/>
      <c r="O22" s="84" t="str">
        <f>IF(OR($L$6="",$L$7=""),"",IF($B22="","",IF(ISNA(VLOOKUP($B22,'LT02'!$B$11:$Q$80,16,FALSE)),"",VLOOKUP($B22,'LT02'!$B$11:$Q$80,16,FALSE))))</f>
        <v/>
      </c>
      <c r="P22" s="85">
        <f>IF(OR($P$6="",$P$7=""),"",IF($B22="","",IF(ISNA(VLOOKUP($B22,'LT03'!$B$11:$M$80,12,FALSE)),"",IF(VLOOKUP($B22,'LT03'!$B$11:$M$80,12,FALSE)="","",VLOOKUP($B22,'LT03'!$B$11:$M$80,12,FALSE)))))</f>
        <v>5.3</v>
      </c>
      <c r="Q22" s="82">
        <f>IF(OR($P$6="",$P$7=""),"",IF($B22="","",IF(ISNA(VLOOKUP($B22,'LT03'!$B$11:$N$80,13,FALSE)),"",VLOOKUP($B22,'LT03'!$B$11:$N$80,13,FALSE))))</f>
        <v>5.7</v>
      </c>
      <c r="R22" s="83"/>
      <c r="S22" s="84" t="str">
        <f>IF(OR($P$6="",$P$7=""),"",IF($B22="","",IF(ISNA(VLOOKUP($B22,'LT03'!$B$11:$Q$80,16,FALSE)),"",VLOOKUP($B22,'LT03'!$B$11:$Q$80,16,FALSE))))</f>
        <v/>
      </c>
      <c r="T22" s="85">
        <f>IF(OR($T$6="",$T$7=""),"",IF($B22="","",IF(ISNA(VLOOKUP($B22,'LT04'!$B$11:$M$80,12,FALSE)),"",IF(VLOOKUP($B22,'LT04'!$B$11:$M$80,12,FALSE)="","",VLOOKUP($B22,'LT04'!$B$11:$M$80,12,FALSE)))))</f>
        <v>9</v>
      </c>
      <c r="U22" s="82">
        <f>IF(OR($T$6="",$T$7=""),"",IF($B22="","",IF(ISNA(VLOOKUP($B22,'LT04'!$B$11:$N$80,13,FALSE)),"",VLOOKUP($B22,'LT04'!$B$11:$N$80,13,FALSE))))</f>
        <v>8.1</v>
      </c>
      <c r="V22" s="83"/>
      <c r="W22" s="84" t="str">
        <f>IF(OR($T$6="",$T$7=""),"",IF($B22="","",IF(ISNA(VLOOKUP($B22,'LT04'!$B$11:$Q$80,16,FALSE)),"",VLOOKUP($B22,'LT04'!$B$11:$Q$80,16,FALSE))))</f>
        <v/>
      </c>
      <c r="X22" s="85">
        <f>IF(OR($X$6="",$X$7=""),"",IF($B22="","",IF(ISNA(VLOOKUP($B22,'LT05'!$B$11:$M$80,12,FALSE)),"",IF(VLOOKUP($B22,'LT05'!$B$11:$M$80,12,FALSE)="","",VLOOKUP($B22,'LT05'!$B$11:$M$80,12,FALSE)))))</f>
        <v>4.3</v>
      </c>
      <c r="Y22" s="82">
        <f>IF(OR($X$6="",$X$7=""),"",IF($B22="","",IF(ISNA(VLOOKUP($B22,'LT05'!$B$11:$N$80,13,FALSE)),"",VLOOKUP($B22,'LT05'!$B$11:$N$80,13,FALSE))))</f>
        <v>5.2</v>
      </c>
      <c r="Z22" s="83"/>
      <c r="AA22" s="84" t="str">
        <f>IF(OR($X$6="",$X$7=""),"",IF($B22="","",IF(ISNA(VLOOKUP($B22,'LT05'!$B$11:$Q$80,16,FALSE)),"",VLOOKUP($B22,'LT05'!$B$11:$Q$80,16,FALSE))))</f>
        <v/>
      </c>
      <c r="AB22" s="85" t="str">
        <f>IF(OR($AB$6="",$AB$7=""),"",IF($B22="","",IF(ISNA(VLOOKUP($B22,'LT06'!$B$11:$M$80,12,FALSE)),"",IF(VLOOKUP($B22,'LT06'!$B$11:$M$80,12,FALSE)="","",VLOOKUP($B22,'LT06'!$B$11:$M$80,12,FALSE)))))</f>
        <v/>
      </c>
      <c r="AC22" s="82" t="str">
        <f>IF(OR($AB$6="",$AB$7=""),"",IF($B22="","",IF(ISNA(VLOOKUP($B22,'LT06'!$B$11:$N$80,13,FALSE)),"",VLOOKUP($B22,'LT06'!$B$11:$N$80,13,FALSE))))</f>
        <v/>
      </c>
      <c r="AD22" s="83"/>
      <c r="AE22" s="84" t="str">
        <f>IF(OR($AB$6="",$AB$7=""),"",IF($B22="","",IF(ISNA(VLOOKUP($B22,'LT06'!$B$11:$Q$80,16,FALSE)),"",VLOOKUP($B22,'LT06'!$B$11:$Q$80,16,FALSE))))</f>
        <v/>
      </c>
      <c r="AF22" s="85" t="str">
        <f>IF(OR($AF$6="",$AF$7=""),"",IF($B22="","",IF(ISNA(VLOOKUP($B22,'LT07'!$B$11:$M$80,12,FALSE)),"",IF(VLOOKUP($B22,'LT07'!$B$11:$M$80,12,FALSE)="","",VLOOKUP($B22,'LT07'!$B$11:$M$80,12,FALSE)))))</f>
        <v/>
      </c>
      <c r="AG22" s="82" t="str">
        <f>IF(OR($AF$6="",$AF$7=""),"",IF($B22="","",IF(ISNA(VLOOKUP($B22,'LT07'!$B$11:$N$80,13,FALSE)),"",VLOOKUP($B22,'LT07'!$B$11:$N$80,13,FALSE))))</f>
        <v/>
      </c>
      <c r="AH22" s="83"/>
      <c r="AI22" s="84" t="str">
        <f>IF(OR($AF$6="",$AF$7=""),"",IF($B22="","",IF(ISNA(VLOOKUP($B22,'LT07'!$B$11:$Q$80,16,FALSE)),"",VLOOKUP($B22,'LT07'!$B$11:$Q$80,16,FALSE))))</f>
        <v/>
      </c>
      <c r="AJ22" s="304"/>
      <c r="AK22" s="82" t="str">
        <f>IF(OR($AJ$6="",$AJ$7=""),"",IF($B22="","",IF(ISNA(VLOOKUP($B22,'DO AN'!$B$11:$L$80,11,FALSE)),"",IF(VLOOKUP($B22,'DO AN'!$B$11:$L$80,11,FALSE)="","",VLOOKUP($B22,'DO AN'!$B$11:$L$80,11,FALSE)))))</f>
        <v/>
      </c>
      <c r="AL22" s="83"/>
      <c r="AM22" s="451"/>
      <c r="AN22" s="83"/>
      <c r="AO22" s="82" t="str">
        <f>IF(OR($AN$6="",$AN$7=""),"",IF($B22="","",IF(ISNA(VLOOKUP($B22,'DO AN 2'!$B$11:$L$80,11,FALSE)),"",IF(VLOOKUP($B22,'DO AN 2'!$B$11:$L$80,11,FALSE)="","",VLOOKUP($B22,'DO AN 2'!$B$11:$L$80,11,FALSE)))))</f>
        <v/>
      </c>
      <c r="AP22" s="83"/>
      <c r="AQ22" s="83"/>
      <c r="AR22" s="454"/>
      <c r="AS22" s="82">
        <f>IF(OR($AR$6="",$AR$7=""),"",IF($B22="","",IF(ISNA(VLOOKUP($B22,'TH01'!$B$11:$O$80,14,FALSE)),"",VLOOKUP($B22,'TH01'!$B$11:$O$80,14,FALSE))))</f>
        <v>5.6</v>
      </c>
      <c r="AT22" s="83"/>
      <c r="AU22" s="303"/>
      <c r="AV22" s="304"/>
      <c r="AW22" s="82">
        <f>IF(OR($AV$6="",$AV$7=""),"",IF($B22="","",IF(ISNA(VLOOKUP($B22,'TH02'!$B$11:$O$80,14,FALSE)),"",VLOOKUP($B22,'TH02'!$B$11:$O$80,14,FALSE))))</f>
        <v>5.5</v>
      </c>
      <c r="AX22" s="83"/>
      <c r="AY22" s="303"/>
      <c r="AZ22" s="304"/>
      <c r="BA22" s="82">
        <f>IF(OR($AZ$6="",$AZ$7=""),"",IF($B22="","",IF(ISNA(VLOOKUP($B22,'TH03'!$B$11:$O$80,14,FALSE)),"",VLOOKUP($B22,'TH03'!$B$11:$O$80,14,FALSE))))</f>
        <v>6.5</v>
      </c>
      <c r="BB22" s="83"/>
      <c r="BC22" s="303"/>
      <c r="BD22" s="86">
        <f t="shared" si="11"/>
        <v>6.24</v>
      </c>
      <c r="BE22" s="86" t="str">
        <f t="shared" si="12"/>
        <v/>
      </c>
      <c r="BF22" s="87">
        <v>60</v>
      </c>
      <c r="BG22" s="88" t="str">
        <f t="shared" si="0"/>
        <v>T.Bình</v>
      </c>
      <c r="BH22" s="88" t="str">
        <f t="shared" si="1"/>
        <v/>
      </c>
      <c r="BI22" s="87"/>
      <c r="BJ22" s="86" t="str">
        <f t="shared" si="2"/>
        <v/>
      </c>
      <c r="BK22" s="265">
        <f t="shared" si="3"/>
        <v>18</v>
      </c>
      <c r="BL22" s="88">
        <f t="shared" si="4"/>
        <v>0</v>
      </c>
      <c r="BM22" s="88">
        <f t="shared" si="5"/>
        <v>18</v>
      </c>
      <c r="BN22" s="88">
        <f t="shared" si="6"/>
        <v>0</v>
      </c>
      <c r="BO22" s="86">
        <f t="shared" si="13"/>
        <v>6.24</v>
      </c>
      <c r="BP22" s="86" t="str">
        <f t="shared" si="7"/>
        <v>BT</v>
      </c>
      <c r="BQ22" s="86">
        <f t="shared" si="14"/>
        <v>6.24</v>
      </c>
      <c r="BR22" s="86" t="str">
        <f t="shared" si="8"/>
        <v>BT</v>
      </c>
      <c r="BS22" s="87"/>
      <c r="BT22" s="276">
        <f t="shared" si="15"/>
        <v>1</v>
      </c>
      <c r="BU22" s="238">
        <f t="shared" si="16"/>
        <v>7</v>
      </c>
      <c r="BV22" s="238">
        <f t="shared" si="17"/>
        <v>6.8</v>
      </c>
      <c r="BW22" s="238">
        <f t="shared" si="18"/>
        <v>5.3</v>
      </c>
      <c r="BX22" s="238">
        <f t="shared" si="19"/>
        <v>9</v>
      </c>
      <c r="BY22" s="238">
        <f t="shared" si="20"/>
        <v>4.3</v>
      </c>
      <c r="BZ22" s="238" t="str">
        <f t="shared" si="21"/>
        <v/>
      </c>
      <c r="CA22" s="238" t="str">
        <f t="shared" si="22"/>
        <v/>
      </c>
      <c r="CB22" s="238" t="str">
        <f t="shared" si="23"/>
        <v/>
      </c>
      <c r="CC22" s="238" t="str">
        <f t="shared" si="24"/>
        <v/>
      </c>
      <c r="CD22" s="238">
        <f t="shared" si="25"/>
        <v>5.6</v>
      </c>
      <c r="CE22" s="238">
        <f t="shared" si="26"/>
        <v>5.5</v>
      </c>
      <c r="CF22" s="238">
        <f t="shared" si="27"/>
        <v>6.5</v>
      </c>
      <c r="CG22" s="239">
        <f t="shared" si="28"/>
        <v>0</v>
      </c>
      <c r="CH22" s="238">
        <f t="shared" si="29"/>
        <v>7.3</v>
      </c>
      <c r="CI22" s="238">
        <f t="shared" si="30"/>
        <v>6</v>
      </c>
      <c r="CJ22" s="238">
        <f t="shared" si="31"/>
        <v>5.7</v>
      </c>
      <c r="CK22" s="238">
        <f t="shared" si="32"/>
        <v>8.1</v>
      </c>
      <c r="CL22" s="238">
        <f t="shared" si="33"/>
        <v>5.2</v>
      </c>
      <c r="CM22" s="238" t="str">
        <f t="shared" si="34"/>
        <v/>
      </c>
      <c r="CN22" s="238" t="str">
        <f t="shared" si="35"/>
        <v/>
      </c>
      <c r="CO22" s="238" t="str">
        <f t="shared" si="36"/>
        <v/>
      </c>
      <c r="CP22" s="238" t="str">
        <f t="shared" si="37"/>
        <v/>
      </c>
      <c r="CQ22" s="238">
        <f t="shared" si="38"/>
        <v>5.6</v>
      </c>
      <c r="CR22" s="238">
        <f t="shared" si="39"/>
        <v>5.5</v>
      </c>
      <c r="CS22" s="238">
        <f t="shared" si="40"/>
        <v>6.5</v>
      </c>
      <c r="CT22" s="240">
        <f t="shared" si="41"/>
        <v>6.24</v>
      </c>
      <c r="CU22" s="241">
        <f t="shared" si="42"/>
        <v>7.3</v>
      </c>
      <c r="CV22" s="241">
        <f t="shared" si="43"/>
        <v>6</v>
      </c>
      <c r="CW22" s="241">
        <f t="shared" si="44"/>
        <v>5.7</v>
      </c>
      <c r="CX22" s="241">
        <f t="shared" si="45"/>
        <v>8.1</v>
      </c>
      <c r="CY22" s="241">
        <f t="shared" si="46"/>
        <v>5.2</v>
      </c>
      <c r="CZ22" s="241" t="str">
        <f t="shared" si="47"/>
        <v/>
      </c>
      <c r="DA22" s="241" t="str">
        <f t="shared" si="48"/>
        <v/>
      </c>
      <c r="DB22" s="241" t="str">
        <f t="shared" si="49"/>
        <v/>
      </c>
      <c r="DC22" s="241" t="str">
        <f t="shared" si="50"/>
        <v/>
      </c>
      <c r="DD22" s="241">
        <f t="shared" si="51"/>
        <v>5.6</v>
      </c>
      <c r="DE22" s="241">
        <f t="shared" si="52"/>
        <v>5.5</v>
      </c>
      <c r="DF22" s="241">
        <f t="shared" si="53"/>
        <v>6.5</v>
      </c>
      <c r="DG22" s="242">
        <f t="shared" si="9"/>
        <v>6.24</v>
      </c>
      <c r="DH22" s="82" t="str">
        <f t="shared" si="54"/>
        <v/>
      </c>
      <c r="DI22" s="82" t="str">
        <f t="shared" si="55"/>
        <v/>
      </c>
      <c r="DJ22" s="82" t="str">
        <f t="shared" si="56"/>
        <v/>
      </c>
      <c r="DK22" s="82" t="str">
        <f t="shared" si="57"/>
        <v/>
      </c>
      <c r="DL22" s="82" t="str">
        <f t="shared" si="58"/>
        <v/>
      </c>
      <c r="DM22" s="82" t="str">
        <f t="shared" si="59"/>
        <v/>
      </c>
      <c r="DN22" s="82" t="str">
        <f t="shared" si="60"/>
        <v/>
      </c>
      <c r="DO22" s="82" t="str">
        <f t="shared" si="61"/>
        <v/>
      </c>
      <c r="DP22" s="82" t="str">
        <f t="shared" si="62"/>
        <v/>
      </c>
      <c r="DQ22" s="82" t="str">
        <f t="shared" si="63"/>
        <v/>
      </c>
      <c r="DR22" s="82" t="str">
        <f t="shared" si="64"/>
        <v/>
      </c>
      <c r="DS22" s="253" t="str">
        <f t="shared" si="65"/>
        <v/>
      </c>
      <c r="DT22" s="250">
        <f t="shared" si="66"/>
        <v>7.3</v>
      </c>
      <c r="DU22" s="238">
        <f t="shared" si="67"/>
        <v>6</v>
      </c>
      <c r="DV22" s="238">
        <f t="shared" si="68"/>
        <v>5.7</v>
      </c>
      <c r="DW22" s="238">
        <f t="shared" si="69"/>
        <v>8.1</v>
      </c>
      <c r="DX22" s="238">
        <f t="shared" si="70"/>
        <v>5.2</v>
      </c>
      <c r="DY22" s="238" t="str">
        <f t="shared" si="71"/>
        <v/>
      </c>
      <c r="DZ22" s="238" t="str">
        <f t="shared" si="72"/>
        <v/>
      </c>
      <c r="EA22" s="238" t="str">
        <f t="shared" si="73"/>
        <v/>
      </c>
      <c r="EB22" s="238" t="str">
        <f t="shared" si="74"/>
        <v/>
      </c>
      <c r="EC22" s="238">
        <f t="shared" si="75"/>
        <v>5.6</v>
      </c>
      <c r="ED22" s="238">
        <f t="shared" si="76"/>
        <v>5.5</v>
      </c>
      <c r="EE22" s="238">
        <f t="shared" si="77"/>
        <v>6.5</v>
      </c>
      <c r="EF22" s="255" t="str">
        <f t="shared" si="78"/>
        <v/>
      </c>
      <c r="EG22" s="257">
        <f t="shared" si="79"/>
        <v>7.3</v>
      </c>
      <c r="EH22" s="257">
        <f t="shared" si="80"/>
        <v>6</v>
      </c>
      <c r="EI22" s="257">
        <f t="shared" si="81"/>
        <v>5.7</v>
      </c>
      <c r="EJ22" s="257">
        <f t="shared" si="82"/>
        <v>8.1</v>
      </c>
      <c r="EK22" s="257">
        <f t="shared" si="83"/>
        <v>5.2</v>
      </c>
      <c r="EL22" s="257" t="str">
        <f t="shared" si="84"/>
        <v/>
      </c>
      <c r="EM22" s="257" t="str">
        <f t="shared" si="85"/>
        <v/>
      </c>
      <c r="EN22" s="257" t="str">
        <f t="shared" si="86"/>
        <v/>
      </c>
      <c r="EO22" s="257" t="str">
        <f t="shared" si="87"/>
        <v/>
      </c>
      <c r="EP22" s="257">
        <f t="shared" si="88"/>
        <v>5.6</v>
      </c>
      <c r="EQ22" s="257">
        <f t="shared" si="89"/>
        <v>5.5</v>
      </c>
      <c r="ER22" s="257">
        <f t="shared" si="90"/>
        <v>6.5</v>
      </c>
      <c r="ES22" s="262">
        <f t="shared" si="10"/>
        <v>6.24</v>
      </c>
      <c r="ET22" s="307">
        <f t="shared" si="91"/>
        <v>6.24</v>
      </c>
    </row>
    <row r="23" spans="1:150" s="89" customFormat="1" ht="30" customHeight="1">
      <c r="A23" s="272">
        <f>IF($B23="","",SUBTOTAL(3,$B$11:B23))</f>
        <v>13</v>
      </c>
      <c r="B23" s="457" t="s">
        <v>1565</v>
      </c>
      <c r="C23" s="76" t="str">
        <f>IF($B23="","",VLOOKUP($B23,'DS LOP HKI'!$B$2:$D$951,2,0))</f>
        <v>Nguyễn Thành</v>
      </c>
      <c r="D23" s="77" t="str">
        <f>IF($B23="","",VLOOKUP($B23,'DS LOP HKI'!$B$2:$D$951,3,0))</f>
        <v>Đông</v>
      </c>
      <c r="E23" s="78"/>
      <c r="F23" s="79"/>
      <c r="G23" s="80"/>
      <c r="H23" s="81">
        <f>IF(OR($H$6="",$H$7=""),"",IF($B23="","",IF(ISNA(VLOOKUP($B23,'LT01'!$B$11:$M$80,12,FALSE)),"",IF(VLOOKUP($B23,'LT01'!$B$11:$M$80,12,FALSE)="","",VLOOKUP($B23,'LT01'!$B$11:$M$80,12,FALSE)))))</f>
        <v>7</v>
      </c>
      <c r="I23" s="82">
        <f>IF(OR($H$6="",$H$7=""),"",IF($B23="","",IF(ISNA(VLOOKUP($B23,'LT01'!$B$11:$N$80,13,FALSE)),"",VLOOKUP($B23,'LT01'!$B$11:$N$80,13,FALSE))))</f>
        <v>6.6</v>
      </c>
      <c r="J23" s="83"/>
      <c r="K23" s="84" t="str">
        <f>IF(OR($H$6="",$H$7=""),"",IF($B23="","",IF(ISNA(VLOOKUP($B23,'LT01'!$B$11:$Q$80,16,FALSE)),"",IF(VLOOKUP($B23,'LT01'!$B$11:$Q$80,16,FALSE)="","",VLOOKUP($B23,'LT01'!$B$11:$Q$80,16,FALSE)))))</f>
        <v/>
      </c>
      <c r="L23" s="85">
        <f>IF(OR($L$6="",$L$7=""),"",IF($B23="","",IF(ISNA(VLOOKUP($B23,'LT02'!$B$11:$M$80,12,FALSE)),"",IF(VLOOKUP($B23,'LT02'!$B$11:$M$80,12,FALSE)="","",VLOOKUP($B23,'LT02'!$B$11:$M$80,12,FALSE)))))</f>
        <v>7</v>
      </c>
      <c r="M23" s="82">
        <f>IF(OR($L$6="",$L$7=""),"",IF($B23="","",IF(ISNA(VLOOKUP($B23,'LT02'!$B$11:$N$80,13,FALSE)),"",VLOOKUP($B23,'LT02'!$B$11:$N$80,13,FALSE))))</f>
        <v>6.4</v>
      </c>
      <c r="N23" s="83"/>
      <c r="O23" s="84" t="str">
        <f>IF(OR($L$6="",$L$7=""),"",IF($B23="","",IF(ISNA(VLOOKUP($B23,'LT02'!$B$11:$Q$80,16,FALSE)),"",VLOOKUP($B23,'LT02'!$B$11:$Q$80,16,FALSE))))</f>
        <v/>
      </c>
      <c r="P23" s="85">
        <f>IF(OR($P$6="",$P$7=""),"",IF($B23="","",IF(ISNA(VLOOKUP($B23,'LT03'!$B$11:$M$80,12,FALSE)),"",IF(VLOOKUP($B23,'LT03'!$B$11:$M$80,12,FALSE)="","",VLOOKUP($B23,'LT03'!$B$11:$M$80,12,FALSE)))))</f>
        <v>4.8</v>
      </c>
      <c r="Q23" s="82">
        <f>IF(OR($P$6="",$P$7=""),"",IF($B23="","",IF(ISNA(VLOOKUP($B23,'LT03'!$B$11:$N$80,13,FALSE)),"",VLOOKUP($B23,'LT03'!$B$11:$N$80,13,FALSE))))</f>
        <v>5.0999999999999996</v>
      </c>
      <c r="R23" s="83"/>
      <c r="S23" s="84" t="str">
        <f>IF(OR($P$6="",$P$7=""),"",IF($B23="","",IF(ISNA(VLOOKUP($B23,'LT03'!$B$11:$Q$80,16,FALSE)),"",VLOOKUP($B23,'LT03'!$B$11:$Q$80,16,FALSE))))</f>
        <v/>
      </c>
      <c r="T23" s="85">
        <f>IF(OR($T$6="",$T$7=""),"",IF($B23="","",IF(ISNA(VLOOKUP($B23,'LT04'!$B$11:$M$80,12,FALSE)),"",IF(VLOOKUP($B23,'LT04'!$B$11:$M$80,12,FALSE)="","",VLOOKUP($B23,'LT04'!$B$11:$M$80,12,FALSE)))))</f>
        <v>7.8</v>
      </c>
      <c r="U23" s="82">
        <f>IF(OR($T$6="",$T$7=""),"",IF($B23="","",IF(ISNA(VLOOKUP($B23,'LT04'!$B$11:$N$80,13,FALSE)),"",VLOOKUP($B23,'LT04'!$B$11:$N$80,13,FALSE))))</f>
        <v>7.4</v>
      </c>
      <c r="V23" s="83"/>
      <c r="W23" s="84" t="str">
        <f>IF(OR($T$6="",$T$7=""),"",IF($B23="","",IF(ISNA(VLOOKUP($B23,'LT04'!$B$11:$Q$80,16,FALSE)),"",VLOOKUP($B23,'LT04'!$B$11:$Q$80,16,FALSE))))</f>
        <v/>
      </c>
      <c r="X23" s="85">
        <f>IF(OR($X$6="",$X$7=""),"",IF($B23="","",IF(ISNA(VLOOKUP($B23,'LT05'!$B$11:$M$80,12,FALSE)),"",IF(VLOOKUP($B23,'LT05'!$B$11:$M$80,12,FALSE)="","",VLOOKUP($B23,'LT05'!$B$11:$M$80,12,FALSE)))))</f>
        <v>3.3</v>
      </c>
      <c r="Y23" s="82">
        <f>IF(OR($X$6="",$X$7=""),"",IF($B23="","",IF(ISNA(VLOOKUP($B23,'LT05'!$B$11:$N$80,13,FALSE)),"",VLOOKUP($B23,'LT05'!$B$11:$N$80,13,FALSE))))</f>
        <v>4.0999999999999996</v>
      </c>
      <c r="Z23" s="83"/>
      <c r="AA23" s="84" t="str">
        <f>IF(OR($X$6="",$X$7=""),"",IF($B23="","",IF(ISNA(VLOOKUP($B23,'LT05'!$B$11:$Q$80,16,FALSE)),"",VLOOKUP($B23,'LT05'!$B$11:$Q$80,16,FALSE))))</f>
        <v/>
      </c>
      <c r="AB23" s="85" t="str">
        <f>IF(OR($AB$6="",$AB$7=""),"",IF($B23="","",IF(ISNA(VLOOKUP($B23,'LT06'!$B$11:$M$80,12,FALSE)),"",IF(VLOOKUP($B23,'LT06'!$B$11:$M$80,12,FALSE)="","",VLOOKUP($B23,'LT06'!$B$11:$M$80,12,FALSE)))))</f>
        <v/>
      </c>
      <c r="AC23" s="82" t="str">
        <f>IF(OR($AB$6="",$AB$7=""),"",IF($B23="","",IF(ISNA(VLOOKUP($B23,'LT06'!$B$11:$N$80,13,FALSE)),"",VLOOKUP($B23,'LT06'!$B$11:$N$80,13,FALSE))))</f>
        <v/>
      </c>
      <c r="AD23" s="83"/>
      <c r="AE23" s="84" t="str">
        <f>IF(OR($AB$6="",$AB$7=""),"",IF($B23="","",IF(ISNA(VLOOKUP($B23,'LT06'!$B$11:$Q$80,16,FALSE)),"",VLOOKUP($B23,'LT06'!$B$11:$Q$80,16,FALSE))))</f>
        <v/>
      </c>
      <c r="AF23" s="85" t="str">
        <f>IF(OR($AF$6="",$AF$7=""),"",IF($B23="","",IF(ISNA(VLOOKUP($B23,'LT07'!$B$11:$M$80,12,FALSE)),"",IF(VLOOKUP($B23,'LT07'!$B$11:$M$80,12,FALSE)="","",VLOOKUP($B23,'LT07'!$B$11:$M$80,12,FALSE)))))</f>
        <v/>
      </c>
      <c r="AG23" s="82" t="str">
        <f>IF(OR($AF$6="",$AF$7=""),"",IF($B23="","",IF(ISNA(VLOOKUP($B23,'LT07'!$B$11:$N$80,13,FALSE)),"",VLOOKUP($B23,'LT07'!$B$11:$N$80,13,FALSE))))</f>
        <v/>
      </c>
      <c r="AH23" s="83"/>
      <c r="AI23" s="84" t="str">
        <f>IF(OR($AF$6="",$AF$7=""),"",IF($B23="","",IF(ISNA(VLOOKUP($B23,'LT07'!$B$11:$Q$80,16,FALSE)),"",VLOOKUP($B23,'LT07'!$B$11:$Q$80,16,FALSE))))</f>
        <v/>
      </c>
      <c r="AJ23" s="304"/>
      <c r="AK23" s="82" t="str">
        <f>IF(OR($AJ$6="",$AJ$7=""),"",IF($B23="","",IF(ISNA(VLOOKUP($B23,'DO AN'!$B$11:$L$80,11,FALSE)),"",IF(VLOOKUP($B23,'DO AN'!$B$11:$L$80,11,FALSE)="","",VLOOKUP($B23,'DO AN'!$B$11:$L$80,11,FALSE)))))</f>
        <v/>
      </c>
      <c r="AL23" s="83"/>
      <c r="AM23" s="451"/>
      <c r="AN23" s="83"/>
      <c r="AO23" s="82" t="str">
        <f>IF(OR($AN$6="",$AN$7=""),"",IF($B23="","",IF(ISNA(VLOOKUP($B23,'DO AN 2'!$B$11:$L$80,11,FALSE)),"",IF(VLOOKUP($B23,'DO AN 2'!$B$11:$L$80,11,FALSE)="","",VLOOKUP($B23,'DO AN 2'!$B$11:$L$80,11,FALSE)))))</f>
        <v/>
      </c>
      <c r="AP23" s="83"/>
      <c r="AQ23" s="83"/>
      <c r="AR23" s="454"/>
      <c r="AS23" s="82">
        <f>IF(OR($AR$6="",$AR$7=""),"",IF($B23="","",IF(ISNA(VLOOKUP($B23,'TH01'!$B$11:$O$80,14,FALSE)),"",VLOOKUP($B23,'TH01'!$B$11:$O$80,14,FALSE))))</f>
        <v>6.2</v>
      </c>
      <c r="AT23" s="83"/>
      <c r="AU23" s="303"/>
      <c r="AV23" s="304"/>
      <c r="AW23" s="82">
        <f>IF(OR($AV$6="",$AV$7=""),"",IF($B23="","",IF(ISNA(VLOOKUP($B23,'TH02'!$B$11:$O$80,14,FALSE)),"",VLOOKUP($B23,'TH02'!$B$11:$O$80,14,FALSE))))</f>
        <v>5</v>
      </c>
      <c r="AX23" s="83"/>
      <c r="AY23" s="303"/>
      <c r="AZ23" s="304"/>
      <c r="BA23" s="82">
        <f>IF(OR($AZ$6="",$AZ$7=""),"",IF($B23="","",IF(ISNA(VLOOKUP($B23,'TH03'!$B$11:$O$80,14,FALSE)),"",VLOOKUP($B23,'TH03'!$B$11:$O$80,14,FALSE))))</f>
        <v>6.8</v>
      </c>
      <c r="BB23" s="83"/>
      <c r="BC23" s="303"/>
      <c r="BD23" s="86">
        <f t="shared" si="11"/>
        <v>5.88</v>
      </c>
      <c r="BE23" s="86" t="str">
        <f t="shared" si="12"/>
        <v/>
      </c>
      <c r="BF23" s="87">
        <v>60</v>
      </c>
      <c r="BG23" s="88" t="str">
        <f t="shared" si="0"/>
        <v>T.Bình</v>
      </c>
      <c r="BH23" s="88" t="str">
        <f t="shared" si="1"/>
        <v/>
      </c>
      <c r="BI23" s="87"/>
      <c r="BJ23" s="86" t="str">
        <f t="shared" si="2"/>
        <v/>
      </c>
      <c r="BK23" s="265">
        <f t="shared" si="3"/>
        <v>18</v>
      </c>
      <c r="BL23" s="88">
        <f t="shared" si="4"/>
        <v>0</v>
      </c>
      <c r="BM23" s="88">
        <f t="shared" si="5"/>
        <v>18</v>
      </c>
      <c r="BN23" s="88">
        <f t="shared" si="6"/>
        <v>0</v>
      </c>
      <c r="BO23" s="86">
        <f t="shared" si="13"/>
        <v>5.88</v>
      </c>
      <c r="BP23" s="86" t="str">
        <f t="shared" si="7"/>
        <v>BT</v>
      </c>
      <c r="BQ23" s="86">
        <f t="shared" si="14"/>
        <v>5.88</v>
      </c>
      <c r="BR23" s="86" t="str">
        <f t="shared" si="8"/>
        <v>BT</v>
      </c>
      <c r="BS23" s="87"/>
      <c r="BT23" s="276">
        <f t="shared" si="15"/>
        <v>2</v>
      </c>
      <c r="BU23" s="238">
        <f t="shared" si="16"/>
        <v>7</v>
      </c>
      <c r="BV23" s="238">
        <f t="shared" si="17"/>
        <v>7</v>
      </c>
      <c r="BW23" s="238">
        <f t="shared" si="18"/>
        <v>4.8</v>
      </c>
      <c r="BX23" s="238">
        <f t="shared" si="19"/>
        <v>7.8</v>
      </c>
      <c r="BY23" s="238">
        <f t="shared" si="20"/>
        <v>3.3</v>
      </c>
      <c r="BZ23" s="238" t="str">
        <f t="shared" si="21"/>
        <v/>
      </c>
      <c r="CA23" s="238" t="str">
        <f t="shared" si="22"/>
        <v/>
      </c>
      <c r="CB23" s="238" t="str">
        <f t="shared" si="23"/>
        <v/>
      </c>
      <c r="CC23" s="238" t="str">
        <f t="shared" si="24"/>
        <v/>
      </c>
      <c r="CD23" s="238">
        <f t="shared" si="25"/>
        <v>6.2</v>
      </c>
      <c r="CE23" s="238">
        <f t="shared" si="26"/>
        <v>5</v>
      </c>
      <c r="CF23" s="238">
        <f t="shared" si="27"/>
        <v>6.8</v>
      </c>
      <c r="CG23" s="239">
        <f t="shared" si="28"/>
        <v>0</v>
      </c>
      <c r="CH23" s="238">
        <f t="shared" si="29"/>
        <v>6.6</v>
      </c>
      <c r="CI23" s="238">
        <f t="shared" si="30"/>
        <v>6.4</v>
      </c>
      <c r="CJ23" s="238">
        <f t="shared" si="31"/>
        <v>5.0999999999999996</v>
      </c>
      <c r="CK23" s="238">
        <f t="shared" si="32"/>
        <v>7.4</v>
      </c>
      <c r="CL23" s="238">
        <f t="shared" si="33"/>
        <v>4.0999999999999996</v>
      </c>
      <c r="CM23" s="238" t="str">
        <f t="shared" si="34"/>
        <v/>
      </c>
      <c r="CN23" s="238" t="str">
        <f t="shared" si="35"/>
        <v/>
      </c>
      <c r="CO23" s="238" t="str">
        <f t="shared" si="36"/>
        <v/>
      </c>
      <c r="CP23" s="238" t="str">
        <f t="shared" si="37"/>
        <v/>
      </c>
      <c r="CQ23" s="238">
        <f t="shared" si="38"/>
        <v>6.2</v>
      </c>
      <c r="CR23" s="238">
        <f t="shared" si="39"/>
        <v>5</v>
      </c>
      <c r="CS23" s="238">
        <f t="shared" si="40"/>
        <v>6.8</v>
      </c>
      <c r="CT23" s="240">
        <f t="shared" si="41"/>
        <v>5.88</v>
      </c>
      <c r="CU23" s="241">
        <f t="shared" si="42"/>
        <v>6.6</v>
      </c>
      <c r="CV23" s="241">
        <f t="shared" si="43"/>
        <v>6.4</v>
      </c>
      <c r="CW23" s="241">
        <f t="shared" si="44"/>
        <v>5.0999999999999996</v>
      </c>
      <c r="CX23" s="241">
        <f t="shared" si="45"/>
        <v>7.4</v>
      </c>
      <c r="CY23" s="241">
        <f t="shared" si="46"/>
        <v>4.0999999999999996</v>
      </c>
      <c r="CZ23" s="241" t="str">
        <f t="shared" si="47"/>
        <v/>
      </c>
      <c r="DA23" s="241" t="str">
        <f t="shared" si="48"/>
        <v/>
      </c>
      <c r="DB23" s="241" t="str">
        <f t="shared" si="49"/>
        <v/>
      </c>
      <c r="DC23" s="241" t="str">
        <f t="shared" si="50"/>
        <v/>
      </c>
      <c r="DD23" s="241">
        <f t="shared" si="51"/>
        <v>6.2</v>
      </c>
      <c r="DE23" s="241">
        <f t="shared" si="52"/>
        <v>5</v>
      </c>
      <c r="DF23" s="241">
        <f t="shared" si="53"/>
        <v>6.8</v>
      </c>
      <c r="DG23" s="242">
        <f t="shared" si="9"/>
        <v>5.88</v>
      </c>
      <c r="DH23" s="82" t="str">
        <f t="shared" si="54"/>
        <v/>
      </c>
      <c r="DI23" s="82" t="str">
        <f t="shared" si="55"/>
        <v/>
      </c>
      <c r="DJ23" s="82" t="str">
        <f t="shared" si="56"/>
        <v/>
      </c>
      <c r="DK23" s="82" t="str">
        <f t="shared" si="57"/>
        <v/>
      </c>
      <c r="DL23" s="82" t="str">
        <f t="shared" si="58"/>
        <v/>
      </c>
      <c r="DM23" s="82" t="str">
        <f t="shared" si="59"/>
        <v/>
      </c>
      <c r="DN23" s="82" t="str">
        <f t="shared" si="60"/>
        <v/>
      </c>
      <c r="DO23" s="82" t="str">
        <f t="shared" si="61"/>
        <v/>
      </c>
      <c r="DP23" s="82" t="str">
        <f t="shared" si="62"/>
        <v/>
      </c>
      <c r="DQ23" s="82" t="str">
        <f t="shared" si="63"/>
        <v/>
      </c>
      <c r="DR23" s="82" t="str">
        <f t="shared" si="64"/>
        <v/>
      </c>
      <c r="DS23" s="253" t="str">
        <f t="shared" si="65"/>
        <v/>
      </c>
      <c r="DT23" s="250">
        <f t="shared" si="66"/>
        <v>6.6</v>
      </c>
      <c r="DU23" s="238">
        <f t="shared" si="67"/>
        <v>6.4</v>
      </c>
      <c r="DV23" s="238">
        <f t="shared" si="68"/>
        <v>5.0999999999999996</v>
      </c>
      <c r="DW23" s="238">
        <f t="shared" si="69"/>
        <v>7.4</v>
      </c>
      <c r="DX23" s="238">
        <f t="shared" si="70"/>
        <v>4.0999999999999996</v>
      </c>
      <c r="DY23" s="238" t="str">
        <f t="shared" si="71"/>
        <v/>
      </c>
      <c r="DZ23" s="238" t="str">
        <f t="shared" si="72"/>
        <v/>
      </c>
      <c r="EA23" s="238" t="str">
        <f t="shared" si="73"/>
        <v/>
      </c>
      <c r="EB23" s="238" t="str">
        <f t="shared" si="74"/>
        <v/>
      </c>
      <c r="EC23" s="238">
        <f t="shared" si="75"/>
        <v>6.2</v>
      </c>
      <c r="ED23" s="238">
        <f t="shared" si="76"/>
        <v>5</v>
      </c>
      <c r="EE23" s="238">
        <f t="shared" si="77"/>
        <v>6.8</v>
      </c>
      <c r="EF23" s="255" t="str">
        <f t="shared" si="78"/>
        <v/>
      </c>
      <c r="EG23" s="257">
        <f t="shared" si="79"/>
        <v>6.6</v>
      </c>
      <c r="EH23" s="257">
        <f t="shared" si="80"/>
        <v>6.4</v>
      </c>
      <c r="EI23" s="257">
        <f t="shared" si="81"/>
        <v>5.0999999999999996</v>
      </c>
      <c r="EJ23" s="257">
        <f t="shared" si="82"/>
        <v>7.4</v>
      </c>
      <c r="EK23" s="257">
        <f t="shared" si="83"/>
        <v>4.0999999999999996</v>
      </c>
      <c r="EL23" s="257" t="str">
        <f t="shared" si="84"/>
        <v/>
      </c>
      <c r="EM23" s="257" t="str">
        <f t="shared" si="85"/>
        <v/>
      </c>
      <c r="EN23" s="257" t="str">
        <f t="shared" si="86"/>
        <v/>
      </c>
      <c r="EO23" s="257" t="str">
        <f t="shared" si="87"/>
        <v/>
      </c>
      <c r="EP23" s="257">
        <f t="shared" si="88"/>
        <v>6.2</v>
      </c>
      <c r="EQ23" s="257">
        <f t="shared" si="89"/>
        <v>5</v>
      </c>
      <c r="ER23" s="257">
        <f t="shared" si="90"/>
        <v>6.8</v>
      </c>
      <c r="ES23" s="262">
        <f t="shared" si="10"/>
        <v>5.88</v>
      </c>
      <c r="ET23" s="307">
        <f t="shared" si="91"/>
        <v>5.88</v>
      </c>
    </row>
    <row r="24" spans="1:150" s="89" customFormat="1" ht="30" customHeight="1">
      <c r="A24" s="272">
        <f>IF($B24="","",SUBTOTAL(3,$B$11:B24))</f>
        <v>14</v>
      </c>
      <c r="B24" s="457" t="s">
        <v>1810</v>
      </c>
      <c r="C24" s="76" t="str">
        <f>IF($B24="","",VLOOKUP($B24,'DS LOP HKI'!$B$2:$D$951,2,0))</f>
        <v xml:space="preserve">Trương Công </v>
      </c>
      <c r="D24" s="77" t="str">
        <f>IF($B24="","",VLOOKUP($B24,'DS LOP HKI'!$B$2:$D$951,3,0))</f>
        <v>Duẩn</v>
      </c>
      <c r="E24" s="78"/>
      <c r="F24" s="79"/>
      <c r="G24" s="80">
        <v>2</v>
      </c>
      <c r="H24" s="81">
        <f>IF(OR($H$6="",$H$7=""),"",IF($B24="","",IF(ISNA(VLOOKUP($B24,'LT01'!$B$11:$M$80,12,FALSE)),"",IF(VLOOKUP($B24,'LT01'!$B$11:$M$80,12,FALSE)="","",VLOOKUP($B24,'LT01'!$B$11:$M$80,12,FALSE)))))</f>
        <v>8.5</v>
      </c>
      <c r="I24" s="82">
        <f>IF(OR($H$6="",$H$7=""),"",IF($B24="","",IF(ISNA(VLOOKUP($B24,'LT01'!$B$11:$N$80,13,FALSE)),"",VLOOKUP($B24,'LT01'!$B$11:$N$80,13,FALSE))))</f>
        <v>7.5</v>
      </c>
      <c r="J24" s="83"/>
      <c r="K24" s="84" t="str">
        <f>IF(OR($H$6="",$H$7=""),"",IF($B24="","",IF(ISNA(VLOOKUP($B24,'LT01'!$B$11:$Q$80,16,FALSE)),"",IF(VLOOKUP($B24,'LT01'!$B$11:$Q$80,16,FALSE)="","",VLOOKUP($B24,'LT01'!$B$11:$Q$80,16,FALSE)))))</f>
        <v/>
      </c>
      <c r="L24" s="85">
        <f>IF(OR($L$6="",$L$7=""),"",IF($B24="","",IF(ISNA(VLOOKUP($B24,'LT02'!$B$11:$M$80,12,FALSE)),"",IF(VLOOKUP($B24,'LT02'!$B$11:$M$80,12,FALSE)="","",VLOOKUP($B24,'LT02'!$B$11:$M$80,12,FALSE)))))</f>
        <v>9</v>
      </c>
      <c r="M24" s="82">
        <f>IF(OR($L$6="",$L$7=""),"",IF($B24="","",IF(ISNA(VLOOKUP($B24,'LT02'!$B$11:$N$80,13,FALSE)),"",VLOOKUP($B24,'LT02'!$B$11:$N$80,13,FALSE))))</f>
        <v>8.4</v>
      </c>
      <c r="N24" s="83"/>
      <c r="O24" s="84" t="str">
        <f>IF(OR($L$6="",$L$7=""),"",IF($B24="","",IF(ISNA(VLOOKUP($B24,'LT02'!$B$11:$Q$80,16,FALSE)),"",VLOOKUP($B24,'LT02'!$B$11:$Q$80,16,FALSE))))</f>
        <v/>
      </c>
      <c r="P24" s="85">
        <f>IF(OR($P$6="",$P$7=""),"",IF($B24="","",IF(ISNA(VLOOKUP($B24,'LT03'!$B$11:$M$80,12,FALSE)),"",IF(VLOOKUP($B24,'LT03'!$B$11:$M$80,12,FALSE)="","",VLOOKUP($B24,'LT03'!$B$11:$M$80,12,FALSE)))))</f>
        <v>6.3</v>
      </c>
      <c r="Q24" s="82">
        <f>IF(OR($P$6="",$P$7=""),"",IF($B24="","",IF(ISNA(VLOOKUP($B24,'LT03'!$B$11:$N$80,13,FALSE)),"",VLOOKUP($B24,'LT03'!$B$11:$N$80,13,FALSE))))</f>
        <v>6.4</v>
      </c>
      <c r="R24" s="83"/>
      <c r="S24" s="84" t="str">
        <f>IF(OR($P$6="",$P$7=""),"",IF($B24="","",IF(ISNA(VLOOKUP($B24,'LT03'!$B$11:$Q$80,16,FALSE)),"",VLOOKUP($B24,'LT03'!$B$11:$Q$80,16,FALSE))))</f>
        <v/>
      </c>
      <c r="T24" s="85">
        <f>IF(OR($T$6="",$T$7=""),"",IF($B24="","",IF(ISNA(VLOOKUP($B24,'LT04'!$B$11:$M$80,12,FALSE)),"",IF(VLOOKUP($B24,'LT04'!$B$11:$M$80,12,FALSE)="","",VLOOKUP($B24,'LT04'!$B$11:$M$80,12,FALSE)))))</f>
        <v>7</v>
      </c>
      <c r="U24" s="82">
        <f>IF(OR($T$6="",$T$7=""),"",IF($B24="","",IF(ISNA(VLOOKUP($B24,'LT04'!$B$11:$N$80,13,FALSE)),"",VLOOKUP($B24,'LT04'!$B$11:$N$80,13,FALSE))))</f>
        <v>7.2</v>
      </c>
      <c r="V24" s="83"/>
      <c r="W24" s="84" t="str">
        <f>IF(OR($T$6="",$T$7=""),"",IF($B24="","",IF(ISNA(VLOOKUP($B24,'LT04'!$B$11:$Q$80,16,FALSE)),"",VLOOKUP($B24,'LT04'!$B$11:$Q$80,16,FALSE))))</f>
        <v/>
      </c>
      <c r="X24" s="85">
        <f>IF(OR($X$6="",$X$7=""),"",IF($B24="","",IF(ISNA(VLOOKUP($B24,'LT05'!$B$11:$M$80,12,FALSE)),"",IF(VLOOKUP($B24,'LT05'!$B$11:$M$80,12,FALSE)="","",VLOOKUP($B24,'LT05'!$B$11:$M$80,12,FALSE)))))</f>
        <v>2.8</v>
      </c>
      <c r="Y24" s="82">
        <f>IF(OR($X$6="",$X$7=""),"",IF($B24="","",IF(ISNA(VLOOKUP($B24,'LT05'!$B$11:$N$80,13,FALSE)),"",VLOOKUP($B24,'LT05'!$B$11:$N$80,13,FALSE))))</f>
        <v>4.5</v>
      </c>
      <c r="Z24" s="83"/>
      <c r="AA24" s="84" t="str">
        <f>IF(OR($X$6="",$X$7=""),"",IF($B24="","",IF(ISNA(VLOOKUP($B24,'LT05'!$B$11:$Q$80,16,FALSE)),"",VLOOKUP($B24,'LT05'!$B$11:$Q$80,16,FALSE))))</f>
        <v/>
      </c>
      <c r="AB24" s="85" t="str">
        <f>IF(OR($AB$6="",$AB$7=""),"",IF($B24="","",IF(ISNA(VLOOKUP($B24,'LT06'!$B$11:$M$80,12,FALSE)),"",IF(VLOOKUP($B24,'LT06'!$B$11:$M$80,12,FALSE)="","",VLOOKUP($B24,'LT06'!$B$11:$M$80,12,FALSE)))))</f>
        <v/>
      </c>
      <c r="AC24" s="82" t="str">
        <f>IF(OR($AB$6="",$AB$7=""),"",IF($B24="","",IF(ISNA(VLOOKUP($B24,'LT06'!$B$11:$N$80,13,FALSE)),"",VLOOKUP($B24,'LT06'!$B$11:$N$80,13,FALSE))))</f>
        <v/>
      </c>
      <c r="AD24" s="83"/>
      <c r="AE24" s="84" t="str">
        <f>IF(OR($AB$6="",$AB$7=""),"",IF($B24="","",IF(ISNA(VLOOKUP($B24,'LT06'!$B$11:$Q$80,16,FALSE)),"",VLOOKUP($B24,'LT06'!$B$11:$Q$80,16,FALSE))))</f>
        <v/>
      </c>
      <c r="AF24" s="85" t="str">
        <f>IF(OR($AF$6="",$AF$7=""),"",IF($B24="","",IF(ISNA(VLOOKUP($B24,'LT07'!$B$11:$M$80,12,FALSE)),"",IF(VLOOKUP($B24,'LT07'!$B$11:$M$80,12,FALSE)="","",VLOOKUP($B24,'LT07'!$B$11:$M$80,12,FALSE)))))</f>
        <v/>
      </c>
      <c r="AG24" s="82" t="str">
        <f>IF(OR($AF$6="",$AF$7=""),"",IF($B24="","",IF(ISNA(VLOOKUP($B24,'LT07'!$B$11:$N$80,13,FALSE)),"",VLOOKUP($B24,'LT07'!$B$11:$N$80,13,FALSE))))</f>
        <v/>
      </c>
      <c r="AH24" s="83"/>
      <c r="AI24" s="84" t="str">
        <f>IF(OR($AF$6="",$AF$7=""),"",IF($B24="","",IF(ISNA(VLOOKUP($B24,'LT07'!$B$11:$Q$80,16,FALSE)),"",VLOOKUP($B24,'LT07'!$B$11:$Q$80,16,FALSE))))</f>
        <v/>
      </c>
      <c r="AJ24" s="304"/>
      <c r="AK24" s="82" t="str">
        <f>IF(OR($AJ$6="",$AJ$7=""),"",IF($B24="","",IF(ISNA(VLOOKUP($B24,'DO AN'!$B$11:$L$80,11,FALSE)),"",IF(VLOOKUP($B24,'DO AN'!$B$11:$L$80,11,FALSE)="","",VLOOKUP($B24,'DO AN'!$B$11:$L$80,11,FALSE)))))</f>
        <v/>
      </c>
      <c r="AL24" s="83"/>
      <c r="AM24" s="451"/>
      <c r="AN24" s="83"/>
      <c r="AO24" s="82" t="str">
        <f>IF(OR($AN$6="",$AN$7=""),"",IF($B24="","",IF(ISNA(VLOOKUP($B24,'DO AN 2'!$B$11:$L$80,11,FALSE)),"",IF(VLOOKUP($B24,'DO AN 2'!$B$11:$L$80,11,FALSE)="","",VLOOKUP($B24,'DO AN 2'!$B$11:$L$80,11,FALSE)))))</f>
        <v/>
      </c>
      <c r="AP24" s="83"/>
      <c r="AQ24" s="83"/>
      <c r="AR24" s="454"/>
      <c r="AS24" s="82">
        <f>IF(OR($AR$6="",$AR$7=""),"",IF($B24="","",IF(ISNA(VLOOKUP($B24,'TH01'!$B$11:$O$80,14,FALSE)),"",VLOOKUP($B24,'TH01'!$B$11:$O$80,14,FALSE))))</f>
        <v>8</v>
      </c>
      <c r="AT24" s="83"/>
      <c r="AU24" s="303"/>
      <c r="AV24" s="304"/>
      <c r="AW24" s="82">
        <f>IF(OR($AV$6="",$AV$7=""),"",IF($B24="","",IF(ISNA(VLOOKUP($B24,'TH02'!$B$11:$O$80,14,FALSE)),"",VLOOKUP($B24,'TH02'!$B$11:$O$80,14,FALSE))))</f>
        <v>7.5</v>
      </c>
      <c r="AX24" s="83"/>
      <c r="AY24" s="303"/>
      <c r="AZ24" s="304"/>
      <c r="BA24" s="82">
        <f>IF(OR($AZ$6="",$AZ$7=""),"",IF($B24="","",IF(ISNA(VLOOKUP($B24,'TH03'!$B$11:$O$80,14,FALSE)),"",VLOOKUP($B24,'TH03'!$B$11:$O$80,14,FALSE))))</f>
        <v>7.8</v>
      </c>
      <c r="BB24" s="83"/>
      <c r="BC24" s="303"/>
      <c r="BD24" s="86">
        <f t="shared" si="11"/>
        <v>7.03</v>
      </c>
      <c r="BE24" s="86" t="str">
        <f t="shared" si="12"/>
        <v/>
      </c>
      <c r="BF24" s="87">
        <v>61</v>
      </c>
      <c r="BG24" s="88" t="str">
        <f t="shared" si="0"/>
        <v>Khá</v>
      </c>
      <c r="BH24" s="88" t="str">
        <f t="shared" si="1"/>
        <v/>
      </c>
      <c r="BI24" s="87"/>
      <c r="BJ24" s="86" t="str">
        <f t="shared" si="2"/>
        <v/>
      </c>
      <c r="BK24" s="265">
        <f t="shared" si="3"/>
        <v>18</v>
      </c>
      <c r="BL24" s="88">
        <f t="shared" si="4"/>
        <v>0</v>
      </c>
      <c r="BM24" s="88">
        <f t="shared" si="5"/>
        <v>18</v>
      </c>
      <c r="BN24" s="88">
        <f t="shared" si="6"/>
        <v>0</v>
      </c>
      <c r="BO24" s="86">
        <f t="shared" si="13"/>
        <v>7.03</v>
      </c>
      <c r="BP24" s="86" t="str">
        <f t="shared" si="7"/>
        <v>BT</v>
      </c>
      <c r="BQ24" s="86">
        <f t="shared" si="14"/>
        <v>7.03</v>
      </c>
      <c r="BR24" s="86" t="str">
        <f t="shared" si="8"/>
        <v>BT</v>
      </c>
      <c r="BS24" s="87"/>
      <c r="BT24" s="276">
        <f t="shared" si="15"/>
        <v>1</v>
      </c>
      <c r="BU24" s="238">
        <f t="shared" si="16"/>
        <v>8.5</v>
      </c>
      <c r="BV24" s="238">
        <f t="shared" si="17"/>
        <v>9</v>
      </c>
      <c r="BW24" s="238">
        <f t="shared" si="18"/>
        <v>6.3</v>
      </c>
      <c r="BX24" s="238">
        <f t="shared" si="19"/>
        <v>7</v>
      </c>
      <c r="BY24" s="238">
        <f t="shared" si="20"/>
        <v>2.8</v>
      </c>
      <c r="BZ24" s="238" t="str">
        <f t="shared" si="21"/>
        <v/>
      </c>
      <c r="CA24" s="238" t="str">
        <f t="shared" si="22"/>
        <v/>
      </c>
      <c r="CB24" s="238" t="str">
        <f t="shared" si="23"/>
        <v/>
      </c>
      <c r="CC24" s="238" t="str">
        <f t="shared" si="24"/>
        <v/>
      </c>
      <c r="CD24" s="238">
        <f t="shared" si="25"/>
        <v>8</v>
      </c>
      <c r="CE24" s="238">
        <f t="shared" si="26"/>
        <v>7.5</v>
      </c>
      <c r="CF24" s="238">
        <f t="shared" si="27"/>
        <v>7.8</v>
      </c>
      <c r="CG24" s="239">
        <f t="shared" si="28"/>
        <v>0</v>
      </c>
      <c r="CH24" s="238">
        <f t="shared" si="29"/>
        <v>7.5</v>
      </c>
      <c r="CI24" s="238">
        <f t="shared" si="30"/>
        <v>8.4</v>
      </c>
      <c r="CJ24" s="238">
        <f t="shared" si="31"/>
        <v>6.4</v>
      </c>
      <c r="CK24" s="238">
        <f t="shared" si="32"/>
        <v>7.2</v>
      </c>
      <c r="CL24" s="238">
        <f t="shared" si="33"/>
        <v>4.5</v>
      </c>
      <c r="CM24" s="238" t="str">
        <f t="shared" si="34"/>
        <v/>
      </c>
      <c r="CN24" s="238" t="str">
        <f t="shared" si="35"/>
        <v/>
      </c>
      <c r="CO24" s="238" t="str">
        <f t="shared" si="36"/>
        <v/>
      </c>
      <c r="CP24" s="238" t="str">
        <f t="shared" si="37"/>
        <v/>
      </c>
      <c r="CQ24" s="238">
        <f t="shared" si="38"/>
        <v>8</v>
      </c>
      <c r="CR24" s="238">
        <f t="shared" si="39"/>
        <v>7.5</v>
      </c>
      <c r="CS24" s="238">
        <f t="shared" si="40"/>
        <v>7.8</v>
      </c>
      <c r="CT24" s="240">
        <f t="shared" si="41"/>
        <v>7.03</v>
      </c>
      <c r="CU24" s="241">
        <f t="shared" si="42"/>
        <v>7.5</v>
      </c>
      <c r="CV24" s="241">
        <f t="shared" si="43"/>
        <v>8.4</v>
      </c>
      <c r="CW24" s="241">
        <f t="shared" si="44"/>
        <v>6.4</v>
      </c>
      <c r="CX24" s="241">
        <f t="shared" si="45"/>
        <v>7.2</v>
      </c>
      <c r="CY24" s="241">
        <f t="shared" si="46"/>
        <v>4.5</v>
      </c>
      <c r="CZ24" s="241" t="str">
        <f t="shared" si="47"/>
        <v/>
      </c>
      <c r="DA24" s="241" t="str">
        <f t="shared" si="48"/>
        <v/>
      </c>
      <c r="DB24" s="241" t="str">
        <f t="shared" si="49"/>
        <v/>
      </c>
      <c r="DC24" s="241" t="str">
        <f t="shared" si="50"/>
        <v/>
      </c>
      <c r="DD24" s="241">
        <f t="shared" si="51"/>
        <v>8</v>
      </c>
      <c r="DE24" s="241">
        <f t="shared" si="52"/>
        <v>7.5</v>
      </c>
      <c r="DF24" s="241">
        <f t="shared" si="53"/>
        <v>7.8</v>
      </c>
      <c r="DG24" s="242">
        <f t="shared" si="9"/>
        <v>7.03</v>
      </c>
      <c r="DH24" s="82" t="str">
        <f t="shared" si="54"/>
        <v/>
      </c>
      <c r="DI24" s="82" t="str">
        <f t="shared" si="55"/>
        <v/>
      </c>
      <c r="DJ24" s="82" t="str">
        <f t="shared" si="56"/>
        <v/>
      </c>
      <c r="DK24" s="82" t="str">
        <f t="shared" si="57"/>
        <v/>
      </c>
      <c r="DL24" s="82" t="str">
        <f t="shared" si="58"/>
        <v/>
      </c>
      <c r="DM24" s="82" t="str">
        <f t="shared" si="59"/>
        <v/>
      </c>
      <c r="DN24" s="82" t="str">
        <f t="shared" si="60"/>
        <v/>
      </c>
      <c r="DO24" s="82" t="str">
        <f t="shared" si="61"/>
        <v/>
      </c>
      <c r="DP24" s="82" t="str">
        <f t="shared" si="62"/>
        <v/>
      </c>
      <c r="DQ24" s="82" t="str">
        <f t="shared" si="63"/>
        <v/>
      </c>
      <c r="DR24" s="82" t="str">
        <f t="shared" si="64"/>
        <v/>
      </c>
      <c r="DS24" s="253" t="str">
        <f t="shared" si="65"/>
        <v/>
      </c>
      <c r="DT24" s="250">
        <f t="shared" si="66"/>
        <v>7.5</v>
      </c>
      <c r="DU24" s="238">
        <f t="shared" si="67"/>
        <v>8.4</v>
      </c>
      <c r="DV24" s="238">
        <f t="shared" si="68"/>
        <v>6.4</v>
      </c>
      <c r="DW24" s="238">
        <f t="shared" si="69"/>
        <v>7.2</v>
      </c>
      <c r="DX24" s="238">
        <f t="shared" si="70"/>
        <v>4.5</v>
      </c>
      <c r="DY24" s="238" t="str">
        <f t="shared" si="71"/>
        <v/>
      </c>
      <c r="DZ24" s="238" t="str">
        <f t="shared" si="72"/>
        <v/>
      </c>
      <c r="EA24" s="238" t="str">
        <f t="shared" si="73"/>
        <v/>
      </c>
      <c r="EB24" s="238" t="str">
        <f t="shared" si="74"/>
        <v/>
      </c>
      <c r="EC24" s="238">
        <f t="shared" si="75"/>
        <v>8</v>
      </c>
      <c r="ED24" s="238">
        <f t="shared" si="76"/>
        <v>7.5</v>
      </c>
      <c r="EE24" s="238">
        <f t="shared" si="77"/>
        <v>7.8</v>
      </c>
      <c r="EF24" s="255" t="str">
        <f t="shared" si="78"/>
        <v/>
      </c>
      <c r="EG24" s="257">
        <f t="shared" si="79"/>
        <v>7.5</v>
      </c>
      <c r="EH24" s="257">
        <f t="shared" si="80"/>
        <v>8.4</v>
      </c>
      <c r="EI24" s="257">
        <f t="shared" si="81"/>
        <v>6.4</v>
      </c>
      <c r="EJ24" s="257">
        <f t="shared" si="82"/>
        <v>7.2</v>
      </c>
      <c r="EK24" s="257">
        <f t="shared" si="83"/>
        <v>4.5</v>
      </c>
      <c r="EL24" s="257" t="str">
        <f t="shared" si="84"/>
        <v/>
      </c>
      <c r="EM24" s="257" t="str">
        <f t="shared" si="85"/>
        <v/>
      </c>
      <c r="EN24" s="257" t="str">
        <f t="shared" si="86"/>
        <v/>
      </c>
      <c r="EO24" s="257" t="str">
        <f t="shared" si="87"/>
        <v/>
      </c>
      <c r="EP24" s="257">
        <f t="shared" si="88"/>
        <v>8</v>
      </c>
      <c r="EQ24" s="257">
        <f t="shared" si="89"/>
        <v>7.5</v>
      </c>
      <c r="ER24" s="257">
        <f t="shared" si="90"/>
        <v>7.8</v>
      </c>
      <c r="ES24" s="262">
        <f t="shared" si="10"/>
        <v>7.03</v>
      </c>
      <c r="ET24" s="307">
        <f t="shared" si="91"/>
        <v>7.03</v>
      </c>
    </row>
    <row r="25" spans="1:150" s="89" customFormat="1" ht="30" customHeight="1">
      <c r="A25" s="272">
        <f>IF($B25="","",SUBTOTAL(3,$B$11:B25))</f>
        <v>15</v>
      </c>
      <c r="B25" s="457" t="s">
        <v>1821</v>
      </c>
      <c r="C25" s="76" t="str">
        <f>IF($B25="","",VLOOKUP($B25,'DS LOP HKI'!$B$2:$D$951,2,0))</f>
        <v>Nguyễn Hiền</v>
      </c>
      <c r="D25" s="77" t="str">
        <f>IF($B25="","",VLOOKUP($B25,'DS LOP HKI'!$B$2:$D$951,3,0))</f>
        <v>Đức</v>
      </c>
      <c r="E25" s="78"/>
      <c r="F25" s="79"/>
      <c r="G25" s="80">
        <v>3</v>
      </c>
      <c r="H25" s="81">
        <f>IF(OR($H$6="",$H$7=""),"",IF($B25="","",IF(ISNA(VLOOKUP($B25,'LT01'!$B$11:$M$80,12,FALSE)),"",IF(VLOOKUP($B25,'LT01'!$B$11:$M$80,12,FALSE)="","",VLOOKUP($B25,'LT01'!$B$11:$M$80,12,FALSE)))))</f>
        <v>6.5</v>
      </c>
      <c r="I25" s="82">
        <f>IF(OR($H$6="",$H$7=""),"",IF($B25="","",IF(ISNA(VLOOKUP($B25,'LT01'!$B$11:$N$80,13,FALSE)),"",VLOOKUP($B25,'LT01'!$B$11:$N$80,13,FALSE))))</f>
        <v>6.7</v>
      </c>
      <c r="J25" s="83"/>
      <c r="K25" s="84" t="str">
        <f>IF(OR($H$6="",$H$7=""),"",IF($B25="","",IF(ISNA(VLOOKUP($B25,'LT01'!$B$11:$Q$80,16,FALSE)),"",IF(VLOOKUP($B25,'LT01'!$B$11:$Q$80,16,FALSE)="","",VLOOKUP($B25,'LT01'!$B$11:$Q$80,16,FALSE)))))</f>
        <v/>
      </c>
      <c r="L25" s="85">
        <f>IF(OR($L$6="",$L$7=""),"",IF($B25="","",IF(ISNA(VLOOKUP($B25,'LT02'!$B$11:$M$80,12,FALSE)),"",IF(VLOOKUP($B25,'LT02'!$B$11:$M$80,12,FALSE)="","",VLOOKUP($B25,'LT02'!$B$11:$M$80,12,FALSE)))))</f>
        <v>7.5</v>
      </c>
      <c r="M25" s="82">
        <f>IF(OR($L$6="",$L$7=""),"",IF($B25="","",IF(ISNA(VLOOKUP($B25,'LT02'!$B$11:$N$80,13,FALSE)),"",VLOOKUP($B25,'LT02'!$B$11:$N$80,13,FALSE))))</f>
        <v>7.3</v>
      </c>
      <c r="N25" s="83"/>
      <c r="O25" s="84" t="str">
        <f>IF(OR($L$6="",$L$7=""),"",IF($B25="","",IF(ISNA(VLOOKUP($B25,'LT02'!$B$11:$Q$80,16,FALSE)),"",VLOOKUP($B25,'LT02'!$B$11:$Q$80,16,FALSE))))</f>
        <v/>
      </c>
      <c r="P25" s="85">
        <f>IF(OR($P$6="",$P$7=""),"",IF($B25="","",IF(ISNA(VLOOKUP($B25,'LT03'!$B$11:$M$80,12,FALSE)),"",IF(VLOOKUP($B25,'LT03'!$B$11:$M$80,12,FALSE)="","",VLOOKUP($B25,'LT03'!$B$11:$M$80,12,FALSE)))))</f>
        <v>5.3</v>
      </c>
      <c r="Q25" s="82">
        <f>IF(OR($P$6="",$P$7=""),"",IF($B25="","",IF(ISNA(VLOOKUP($B25,'LT03'!$B$11:$N$80,13,FALSE)),"",VLOOKUP($B25,'LT03'!$B$11:$N$80,13,FALSE))))</f>
        <v>5.6</v>
      </c>
      <c r="R25" s="83"/>
      <c r="S25" s="84" t="str">
        <f>IF(OR($P$6="",$P$7=""),"",IF($B25="","",IF(ISNA(VLOOKUP($B25,'LT03'!$B$11:$Q$80,16,FALSE)),"",VLOOKUP($B25,'LT03'!$B$11:$Q$80,16,FALSE))))</f>
        <v/>
      </c>
      <c r="T25" s="85">
        <f>IF(OR($T$6="",$T$7=""),"",IF($B25="","",IF(ISNA(VLOOKUP($B25,'LT04'!$B$11:$M$80,12,FALSE)),"",IF(VLOOKUP($B25,'LT04'!$B$11:$M$80,12,FALSE)="","",VLOOKUP($B25,'LT04'!$B$11:$M$80,12,FALSE)))))</f>
        <v>9</v>
      </c>
      <c r="U25" s="82">
        <f>IF(OR($T$6="",$T$7=""),"",IF($B25="","",IF(ISNA(VLOOKUP($B25,'LT04'!$B$11:$N$80,13,FALSE)),"",VLOOKUP($B25,'LT04'!$B$11:$N$80,13,FALSE))))</f>
        <v>7.8</v>
      </c>
      <c r="V25" s="83"/>
      <c r="W25" s="84" t="str">
        <f>IF(OR($T$6="",$T$7=""),"",IF($B25="","",IF(ISNA(VLOOKUP($B25,'LT04'!$B$11:$Q$80,16,FALSE)),"",VLOOKUP($B25,'LT04'!$B$11:$Q$80,16,FALSE))))</f>
        <v/>
      </c>
      <c r="X25" s="85">
        <f>IF(OR($X$6="",$X$7=""),"",IF($B25="","",IF(ISNA(VLOOKUP($B25,'LT05'!$B$11:$M$80,12,FALSE)),"",IF(VLOOKUP($B25,'LT05'!$B$11:$M$80,12,FALSE)="","",VLOOKUP($B25,'LT05'!$B$11:$M$80,12,FALSE)))))</f>
        <v>4</v>
      </c>
      <c r="Y25" s="82">
        <f>IF(OR($X$6="",$X$7=""),"",IF($B25="","",IF(ISNA(VLOOKUP($B25,'LT05'!$B$11:$N$80,13,FALSE)),"",VLOOKUP($B25,'LT05'!$B$11:$N$80,13,FALSE))))</f>
        <v>4.9000000000000004</v>
      </c>
      <c r="Z25" s="83"/>
      <c r="AA25" s="84" t="str">
        <f>IF(OR($X$6="",$X$7=""),"",IF($B25="","",IF(ISNA(VLOOKUP($B25,'LT05'!$B$11:$Q$80,16,FALSE)),"",VLOOKUP($B25,'LT05'!$B$11:$Q$80,16,FALSE))))</f>
        <v/>
      </c>
      <c r="AB25" s="85" t="str">
        <f>IF(OR($AB$6="",$AB$7=""),"",IF($B25="","",IF(ISNA(VLOOKUP($B25,'LT06'!$B$11:$M$80,12,FALSE)),"",IF(VLOOKUP($B25,'LT06'!$B$11:$M$80,12,FALSE)="","",VLOOKUP($B25,'LT06'!$B$11:$M$80,12,FALSE)))))</f>
        <v/>
      </c>
      <c r="AC25" s="82" t="str">
        <f>IF(OR($AB$6="",$AB$7=""),"",IF($B25="","",IF(ISNA(VLOOKUP($B25,'LT06'!$B$11:$N$80,13,FALSE)),"",VLOOKUP($B25,'LT06'!$B$11:$N$80,13,FALSE))))</f>
        <v/>
      </c>
      <c r="AD25" s="83"/>
      <c r="AE25" s="84" t="str">
        <f>IF(OR($AB$6="",$AB$7=""),"",IF($B25="","",IF(ISNA(VLOOKUP($B25,'LT06'!$B$11:$Q$80,16,FALSE)),"",VLOOKUP($B25,'LT06'!$B$11:$Q$80,16,FALSE))))</f>
        <v/>
      </c>
      <c r="AF25" s="85" t="str">
        <f>IF(OR($AF$6="",$AF$7=""),"",IF($B25="","",IF(ISNA(VLOOKUP($B25,'LT07'!$B$11:$M$80,12,FALSE)),"",IF(VLOOKUP($B25,'LT07'!$B$11:$M$80,12,FALSE)="","",VLOOKUP($B25,'LT07'!$B$11:$M$80,12,FALSE)))))</f>
        <v/>
      </c>
      <c r="AG25" s="82" t="str">
        <f>IF(OR($AF$6="",$AF$7=""),"",IF($B25="","",IF(ISNA(VLOOKUP($B25,'LT07'!$B$11:$N$80,13,FALSE)),"",VLOOKUP($B25,'LT07'!$B$11:$N$80,13,FALSE))))</f>
        <v/>
      </c>
      <c r="AH25" s="83"/>
      <c r="AI25" s="84" t="str">
        <f>IF(OR($AF$6="",$AF$7=""),"",IF($B25="","",IF(ISNA(VLOOKUP($B25,'LT07'!$B$11:$Q$80,16,FALSE)),"",VLOOKUP($B25,'LT07'!$B$11:$Q$80,16,FALSE))))</f>
        <v/>
      </c>
      <c r="AJ25" s="304"/>
      <c r="AK25" s="82" t="str">
        <f>IF(OR($AJ$6="",$AJ$7=""),"",IF($B25="","",IF(ISNA(VLOOKUP($B25,'DO AN'!$B$11:$L$80,11,FALSE)),"",IF(VLOOKUP($B25,'DO AN'!$B$11:$L$80,11,FALSE)="","",VLOOKUP($B25,'DO AN'!$B$11:$L$80,11,FALSE)))))</f>
        <v/>
      </c>
      <c r="AL25" s="83"/>
      <c r="AM25" s="451"/>
      <c r="AN25" s="83"/>
      <c r="AO25" s="82" t="str">
        <f>IF(OR($AN$6="",$AN$7=""),"",IF($B25="","",IF(ISNA(VLOOKUP($B25,'DO AN 2'!$B$11:$L$80,11,FALSE)),"",IF(VLOOKUP($B25,'DO AN 2'!$B$11:$L$80,11,FALSE)="","",VLOOKUP($B25,'DO AN 2'!$B$11:$L$80,11,FALSE)))))</f>
        <v/>
      </c>
      <c r="AP25" s="83"/>
      <c r="AQ25" s="83"/>
      <c r="AR25" s="454"/>
      <c r="AS25" s="82">
        <f>IF(OR($AR$6="",$AR$7=""),"",IF($B25="","",IF(ISNA(VLOOKUP($B25,'TH01'!$B$11:$O$80,14,FALSE)),"",VLOOKUP($B25,'TH01'!$B$11:$O$80,14,FALSE))))</f>
        <v>7.2</v>
      </c>
      <c r="AT25" s="83"/>
      <c r="AU25" s="303"/>
      <c r="AV25" s="304"/>
      <c r="AW25" s="82">
        <f>IF(OR($AV$6="",$AV$7=""),"",IF($B25="","",IF(ISNA(VLOOKUP($B25,'TH02'!$B$11:$O$80,14,FALSE)),"",VLOOKUP($B25,'TH02'!$B$11:$O$80,14,FALSE))))</f>
        <v>6</v>
      </c>
      <c r="AX25" s="83"/>
      <c r="AY25" s="303"/>
      <c r="AZ25" s="304"/>
      <c r="BA25" s="82">
        <f>IF(OR($AZ$6="",$AZ$7=""),"",IF($B25="","",IF(ISNA(VLOOKUP($B25,'TH03'!$B$11:$O$80,14,FALSE)),"",VLOOKUP($B25,'TH03'!$B$11:$O$80,14,FALSE))))</f>
        <v>7</v>
      </c>
      <c r="BB25" s="83"/>
      <c r="BC25" s="303"/>
      <c r="BD25" s="86">
        <f t="shared" si="11"/>
        <v>6.48</v>
      </c>
      <c r="BE25" s="86" t="str">
        <f t="shared" si="12"/>
        <v/>
      </c>
      <c r="BF25" s="87">
        <v>58</v>
      </c>
      <c r="BG25" s="88" t="str">
        <f t="shared" si="0"/>
        <v>T.Bình</v>
      </c>
      <c r="BH25" s="88" t="str">
        <f t="shared" si="1"/>
        <v/>
      </c>
      <c r="BI25" s="87"/>
      <c r="BJ25" s="86" t="str">
        <f t="shared" si="2"/>
        <v/>
      </c>
      <c r="BK25" s="265">
        <f t="shared" si="3"/>
        <v>18</v>
      </c>
      <c r="BL25" s="88">
        <f t="shared" si="4"/>
        <v>0</v>
      </c>
      <c r="BM25" s="88">
        <f t="shared" si="5"/>
        <v>18</v>
      </c>
      <c r="BN25" s="88">
        <f t="shared" si="6"/>
        <v>0</v>
      </c>
      <c r="BO25" s="86">
        <f t="shared" si="13"/>
        <v>6.48</v>
      </c>
      <c r="BP25" s="86" t="str">
        <f t="shared" si="7"/>
        <v>BT</v>
      </c>
      <c r="BQ25" s="86">
        <f t="shared" si="14"/>
        <v>6.48</v>
      </c>
      <c r="BR25" s="86" t="str">
        <f t="shared" si="8"/>
        <v>BT</v>
      </c>
      <c r="BS25" s="87"/>
      <c r="BT25" s="276">
        <f t="shared" si="15"/>
        <v>1</v>
      </c>
      <c r="BU25" s="238">
        <f t="shared" si="16"/>
        <v>6.5</v>
      </c>
      <c r="BV25" s="238">
        <f t="shared" si="17"/>
        <v>7.5</v>
      </c>
      <c r="BW25" s="238">
        <f t="shared" si="18"/>
        <v>5.3</v>
      </c>
      <c r="BX25" s="238">
        <f t="shared" si="19"/>
        <v>9</v>
      </c>
      <c r="BY25" s="238">
        <f t="shared" si="20"/>
        <v>4</v>
      </c>
      <c r="BZ25" s="238" t="str">
        <f t="shared" si="21"/>
        <v/>
      </c>
      <c r="CA25" s="238" t="str">
        <f t="shared" si="22"/>
        <v/>
      </c>
      <c r="CB25" s="238" t="str">
        <f t="shared" si="23"/>
        <v/>
      </c>
      <c r="CC25" s="238" t="str">
        <f t="shared" si="24"/>
        <v/>
      </c>
      <c r="CD25" s="238">
        <f t="shared" si="25"/>
        <v>7.2</v>
      </c>
      <c r="CE25" s="238">
        <f t="shared" si="26"/>
        <v>6</v>
      </c>
      <c r="CF25" s="238">
        <f t="shared" si="27"/>
        <v>7</v>
      </c>
      <c r="CG25" s="239">
        <f t="shared" si="28"/>
        <v>0</v>
      </c>
      <c r="CH25" s="238">
        <f t="shared" si="29"/>
        <v>6.7</v>
      </c>
      <c r="CI25" s="238">
        <f t="shared" si="30"/>
        <v>7.3</v>
      </c>
      <c r="CJ25" s="238">
        <f t="shared" si="31"/>
        <v>5.6</v>
      </c>
      <c r="CK25" s="238">
        <f t="shared" si="32"/>
        <v>7.8</v>
      </c>
      <c r="CL25" s="238">
        <f t="shared" si="33"/>
        <v>4.9000000000000004</v>
      </c>
      <c r="CM25" s="238" t="str">
        <f t="shared" si="34"/>
        <v/>
      </c>
      <c r="CN25" s="238" t="str">
        <f t="shared" si="35"/>
        <v/>
      </c>
      <c r="CO25" s="238" t="str">
        <f t="shared" si="36"/>
        <v/>
      </c>
      <c r="CP25" s="238" t="str">
        <f t="shared" si="37"/>
        <v/>
      </c>
      <c r="CQ25" s="238">
        <f t="shared" si="38"/>
        <v>7.2</v>
      </c>
      <c r="CR25" s="238">
        <f t="shared" si="39"/>
        <v>6</v>
      </c>
      <c r="CS25" s="238">
        <f t="shared" si="40"/>
        <v>7</v>
      </c>
      <c r="CT25" s="240">
        <f t="shared" si="41"/>
        <v>6.48</v>
      </c>
      <c r="CU25" s="241">
        <f t="shared" si="42"/>
        <v>6.7</v>
      </c>
      <c r="CV25" s="241">
        <f t="shared" si="43"/>
        <v>7.3</v>
      </c>
      <c r="CW25" s="241">
        <f t="shared" si="44"/>
        <v>5.6</v>
      </c>
      <c r="CX25" s="241">
        <f t="shared" si="45"/>
        <v>7.8</v>
      </c>
      <c r="CY25" s="241">
        <f t="shared" si="46"/>
        <v>4.9000000000000004</v>
      </c>
      <c r="CZ25" s="241" t="str">
        <f t="shared" si="47"/>
        <v/>
      </c>
      <c r="DA25" s="241" t="str">
        <f t="shared" si="48"/>
        <v/>
      </c>
      <c r="DB25" s="241" t="str">
        <f t="shared" si="49"/>
        <v/>
      </c>
      <c r="DC25" s="241" t="str">
        <f t="shared" si="50"/>
        <v/>
      </c>
      <c r="DD25" s="241">
        <f t="shared" si="51"/>
        <v>7.2</v>
      </c>
      <c r="DE25" s="241">
        <f t="shared" si="52"/>
        <v>6</v>
      </c>
      <c r="DF25" s="241">
        <f t="shared" si="53"/>
        <v>7</v>
      </c>
      <c r="DG25" s="242">
        <f t="shared" si="9"/>
        <v>6.48</v>
      </c>
      <c r="DH25" s="82" t="str">
        <f t="shared" si="54"/>
        <v/>
      </c>
      <c r="DI25" s="82" t="str">
        <f t="shared" si="55"/>
        <v/>
      </c>
      <c r="DJ25" s="82" t="str">
        <f t="shared" si="56"/>
        <v/>
      </c>
      <c r="DK25" s="82" t="str">
        <f t="shared" si="57"/>
        <v/>
      </c>
      <c r="DL25" s="82" t="str">
        <f t="shared" si="58"/>
        <v/>
      </c>
      <c r="DM25" s="82" t="str">
        <f t="shared" si="59"/>
        <v/>
      </c>
      <c r="DN25" s="82" t="str">
        <f t="shared" si="60"/>
        <v/>
      </c>
      <c r="DO25" s="82" t="str">
        <f t="shared" si="61"/>
        <v/>
      </c>
      <c r="DP25" s="82" t="str">
        <f t="shared" si="62"/>
        <v/>
      </c>
      <c r="DQ25" s="82" t="str">
        <f t="shared" si="63"/>
        <v/>
      </c>
      <c r="DR25" s="82" t="str">
        <f t="shared" si="64"/>
        <v/>
      </c>
      <c r="DS25" s="253" t="str">
        <f t="shared" si="65"/>
        <v/>
      </c>
      <c r="DT25" s="250">
        <f t="shared" si="66"/>
        <v>6.7</v>
      </c>
      <c r="DU25" s="238">
        <f t="shared" si="67"/>
        <v>7.3</v>
      </c>
      <c r="DV25" s="238">
        <f t="shared" si="68"/>
        <v>5.6</v>
      </c>
      <c r="DW25" s="238">
        <f t="shared" si="69"/>
        <v>7.8</v>
      </c>
      <c r="DX25" s="238">
        <f t="shared" si="70"/>
        <v>4.9000000000000004</v>
      </c>
      <c r="DY25" s="238" t="str">
        <f t="shared" si="71"/>
        <v/>
      </c>
      <c r="DZ25" s="238" t="str">
        <f t="shared" si="72"/>
        <v/>
      </c>
      <c r="EA25" s="238" t="str">
        <f t="shared" si="73"/>
        <v/>
      </c>
      <c r="EB25" s="238" t="str">
        <f t="shared" si="74"/>
        <v/>
      </c>
      <c r="EC25" s="238">
        <f t="shared" si="75"/>
        <v>7.2</v>
      </c>
      <c r="ED25" s="238">
        <f t="shared" si="76"/>
        <v>6</v>
      </c>
      <c r="EE25" s="238">
        <f t="shared" si="77"/>
        <v>7</v>
      </c>
      <c r="EF25" s="255" t="str">
        <f t="shared" si="78"/>
        <v/>
      </c>
      <c r="EG25" s="257">
        <f t="shared" si="79"/>
        <v>6.7</v>
      </c>
      <c r="EH25" s="257">
        <f t="shared" si="80"/>
        <v>7.3</v>
      </c>
      <c r="EI25" s="257">
        <f t="shared" si="81"/>
        <v>5.6</v>
      </c>
      <c r="EJ25" s="257">
        <f t="shared" si="82"/>
        <v>7.8</v>
      </c>
      <c r="EK25" s="257">
        <f t="shared" si="83"/>
        <v>4.9000000000000004</v>
      </c>
      <c r="EL25" s="257" t="str">
        <f t="shared" si="84"/>
        <v/>
      </c>
      <c r="EM25" s="257" t="str">
        <f t="shared" si="85"/>
        <v/>
      </c>
      <c r="EN25" s="257" t="str">
        <f t="shared" si="86"/>
        <v/>
      </c>
      <c r="EO25" s="257" t="str">
        <f t="shared" si="87"/>
        <v/>
      </c>
      <c r="EP25" s="257">
        <f t="shared" si="88"/>
        <v>7.2</v>
      </c>
      <c r="EQ25" s="257">
        <f t="shared" si="89"/>
        <v>6</v>
      </c>
      <c r="ER25" s="257">
        <f t="shared" si="90"/>
        <v>7</v>
      </c>
      <c r="ES25" s="262">
        <f t="shared" si="10"/>
        <v>6.48</v>
      </c>
      <c r="ET25" s="307">
        <f t="shared" si="91"/>
        <v>6.48</v>
      </c>
    </row>
    <row r="26" spans="1:150" s="89" customFormat="1" ht="30" customHeight="1">
      <c r="A26" s="272">
        <f>IF($B26="","",SUBTOTAL(3,$B$11:B26))</f>
        <v>16</v>
      </c>
      <c r="B26" s="457" t="s">
        <v>1824</v>
      </c>
      <c r="C26" s="76" t="str">
        <f>IF($B26="","",VLOOKUP($B26,'DS LOP HKI'!$B$2:$D$951,2,0))</f>
        <v>Nguyễn Văn</v>
      </c>
      <c r="D26" s="77" t="str">
        <f>IF($B26="","",VLOOKUP($B26,'DS LOP HKI'!$B$2:$D$951,3,0))</f>
        <v>Đức</v>
      </c>
      <c r="E26" s="78"/>
      <c r="F26" s="79"/>
      <c r="G26" s="80"/>
      <c r="H26" s="81">
        <f>IF(OR($H$6="",$H$7=""),"",IF($B26="","",IF(ISNA(VLOOKUP($B26,'LT01'!$B$11:$M$80,12,FALSE)),"",IF(VLOOKUP($B26,'LT01'!$B$11:$M$80,12,FALSE)="","",VLOOKUP($B26,'LT01'!$B$11:$M$80,12,FALSE)))))</f>
        <v>7</v>
      </c>
      <c r="I26" s="82">
        <f>IF(OR($H$6="",$H$7=""),"",IF($B26="","",IF(ISNA(VLOOKUP($B26,'LT01'!$B$11:$N$80,13,FALSE)),"",VLOOKUP($B26,'LT01'!$B$11:$N$80,13,FALSE))))</f>
        <v>6.8</v>
      </c>
      <c r="J26" s="83"/>
      <c r="K26" s="84" t="str">
        <f>IF(OR($H$6="",$H$7=""),"",IF($B26="","",IF(ISNA(VLOOKUP($B26,'LT01'!$B$11:$Q$80,16,FALSE)),"",IF(VLOOKUP($B26,'LT01'!$B$11:$Q$80,16,FALSE)="","",VLOOKUP($B26,'LT01'!$B$11:$Q$80,16,FALSE)))))</f>
        <v/>
      </c>
      <c r="L26" s="85">
        <f>IF(OR($L$6="",$L$7=""),"",IF($B26="","",IF(ISNA(VLOOKUP($B26,'LT02'!$B$11:$M$80,12,FALSE)),"",IF(VLOOKUP($B26,'LT02'!$B$11:$M$80,12,FALSE)="","",VLOOKUP($B26,'LT02'!$B$11:$M$80,12,FALSE)))))</f>
        <v>8.8000000000000007</v>
      </c>
      <c r="M26" s="82">
        <f>IF(OR($L$6="",$L$7=""),"",IF($B26="","",IF(ISNA(VLOOKUP($B26,'LT02'!$B$11:$N$80,13,FALSE)),"",VLOOKUP($B26,'LT02'!$B$11:$N$80,13,FALSE))))</f>
        <v>7.6</v>
      </c>
      <c r="N26" s="83"/>
      <c r="O26" s="84" t="str">
        <f>IF(OR($L$6="",$L$7=""),"",IF($B26="","",IF(ISNA(VLOOKUP($B26,'LT02'!$B$11:$Q$80,16,FALSE)),"",VLOOKUP($B26,'LT02'!$B$11:$Q$80,16,FALSE))))</f>
        <v/>
      </c>
      <c r="P26" s="85">
        <f>IF(OR($P$6="",$P$7=""),"",IF($B26="","",IF(ISNA(VLOOKUP($B26,'LT03'!$B$11:$M$80,12,FALSE)),"",IF(VLOOKUP($B26,'LT03'!$B$11:$M$80,12,FALSE)="","",VLOOKUP($B26,'LT03'!$B$11:$M$80,12,FALSE)))))</f>
        <v>5.3</v>
      </c>
      <c r="Q26" s="82">
        <f>IF(OR($P$6="",$P$7=""),"",IF($B26="","",IF(ISNA(VLOOKUP($B26,'LT03'!$B$11:$N$80,13,FALSE)),"",VLOOKUP($B26,'LT03'!$B$11:$N$80,13,FALSE))))</f>
        <v>6.1</v>
      </c>
      <c r="R26" s="83"/>
      <c r="S26" s="84" t="str">
        <f>IF(OR($P$6="",$P$7=""),"",IF($B26="","",IF(ISNA(VLOOKUP($B26,'LT03'!$B$11:$Q$80,16,FALSE)),"",VLOOKUP($B26,'LT03'!$B$11:$Q$80,16,FALSE))))</f>
        <v/>
      </c>
      <c r="T26" s="85">
        <f>IF(OR($T$6="",$T$7=""),"",IF($B26="","",IF(ISNA(VLOOKUP($B26,'LT04'!$B$11:$M$80,12,FALSE)),"",IF(VLOOKUP($B26,'LT04'!$B$11:$M$80,12,FALSE)="","",VLOOKUP($B26,'LT04'!$B$11:$M$80,12,FALSE)))))</f>
        <v>6.5</v>
      </c>
      <c r="U26" s="82">
        <f>IF(OR($T$6="",$T$7=""),"",IF($B26="","",IF(ISNA(VLOOKUP($B26,'LT04'!$B$11:$N$80,13,FALSE)),"",VLOOKUP($B26,'LT04'!$B$11:$N$80,13,FALSE))))</f>
        <v>7.4</v>
      </c>
      <c r="V26" s="83"/>
      <c r="W26" s="84" t="str">
        <f>IF(OR($T$6="",$T$7=""),"",IF($B26="","",IF(ISNA(VLOOKUP($B26,'LT04'!$B$11:$Q$80,16,FALSE)),"",VLOOKUP($B26,'LT04'!$B$11:$Q$80,16,FALSE))))</f>
        <v/>
      </c>
      <c r="X26" s="85">
        <f>IF(OR($X$6="",$X$7=""),"",IF($B26="","",IF(ISNA(VLOOKUP($B26,'LT05'!$B$11:$M$80,12,FALSE)),"",IF(VLOOKUP($B26,'LT05'!$B$11:$M$80,12,FALSE)="","",VLOOKUP($B26,'LT05'!$B$11:$M$80,12,FALSE)))))</f>
        <v>4.5</v>
      </c>
      <c r="Y26" s="82">
        <f>IF(OR($X$6="",$X$7=""),"",IF($B26="","",IF(ISNA(VLOOKUP($B26,'LT05'!$B$11:$N$80,13,FALSE)),"",VLOOKUP($B26,'LT05'!$B$11:$N$80,13,FALSE))))</f>
        <v>5.2</v>
      </c>
      <c r="Z26" s="83"/>
      <c r="AA26" s="84" t="str">
        <f>IF(OR($X$6="",$X$7=""),"",IF($B26="","",IF(ISNA(VLOOKUP($B26,'LT05'!$B$11:$Q$80,16,FALSE)),"",VLOOKUP($B26,'LT05'!$B$11:$Q$80,16,FALSE))))</f>
        <v/>
      </c>
      <c r="AB26" s="85" t="str">
        <f>IF(OR($AB$6="",$AB$7=""),"",IF($B26="","",IF(ISNA(VLOOKUP($B26,'LT06'!$B$11:$M$80,12,FALSE)),"",IF(VLOOKUP($B26,'LT06'!$B$11:$M$80,12,FALSE)="","",VLOOKUP($B26,'LT06'!$B$11:$M$80,12,FALSE)))))</f>
        <v/>
      </c>
      <c r="AC26" s="82" t="str">
        <f>IF(OR($AB$6="",$AB$7=""),"",IF($B26="","",IF(ISNA(VLOOKUP($B26,'LT06'!$B$11:$N$80,13,FALSE)),"",VLOOKUP($B26,'LT06'!$B$11:$N$80,13,FALSE))))</f>
        <v/>
      </c>
      <c r="AD26" s="83"/>
      <c r="AE26" s="84" t="str">
        <f>IF(OR($AB$6="",$AB$7=""),"",IF($B26="","",IF(ISNA(VLOOKUP($B26,'LT06'!$B$11:$Q$80,16,FALSE)),"",VLOOKUP($B26,'LT06'!$B$11:$Q$80,16,FALSE))))</f>
        <v/>
      </c>
      <c r="AF26" s="85" t="str">
        <f>IF(OR($AF$6="",$AF$7=""),"",IF($B26="","",IF(ISNA(VLOOKUP($B26,'LT07'!$B$11:$M$80,12,FALSE)),"",IF(VLOOKUP($B26,'LT07'!$B$11:$M$80,12,FALSE)="","",VLOOKUP($B26,'LT07'!$B$11:$M$80,12,FALSE)))))</f>
        <v/>
      </c>
      <c r="AG26" s="82" t="str">
        <f>IF(OR($AF$6="",$AF$7=""),"",IF($B26="","",IF(ISNA(VLOOKUP($B26,'LT07'!$B$11:$N$80,13,FALSE)),"",VLOOKUP($B26,'LT07'!$B$11:$N$80,13,FALSE))))</f>
        <v/>
      </c>
      <c r="AH26" s="83"/>
      <c r="AI26" s="84" t="str">
        <f>IF(OR($AF$6="",$AF$7=""),"",IF($B26="","",IF(ISNA(VLOOKUP($B26,'LT07'!$B$11:$Q$80,16,FALSE)),"",VLOOKUP($B26,'LT07'!$B$11:$Q$80,16,FALSE))))</f>
        <v/>
      </c>
      <c r="AJ26" s="304"/>
      <c r="AK26" s="82" t="str">
        <f>IF(OR($AJ$6="",$AJ$7=""),"",IF($B26="","",IF(ISNA(VLOOKUP($B26,'DO AN'!$B$11:$L$80,11,FALSE)),"",IF(VLOOKUP($B26,'DO AN'!$B$11:$L$80,11,FALSE)="","",VLOOKUP($B26,'DO AN'!$B$11:$L$80,11,FALSE)))))</f>
        <v/>
      </c>
      <c r="AL26" s="83"/>
      <c r="AM26" s="451"/>
      <c r="AN26" s="83"/>
      <c r="AO26" s="82" t="str">
        <f>IF(OR($AN$6="",$AN$7=""),"",IF($B26="","",IF(ISNA(VLOOKUP($B26,'DO AN 2'!$B$11:$L$80,11,FALSE)),"",IF(VLOOKUP($B26,'DO AN 2'!$B$11:$L$80,11,FALSE)="","",VLOOKUP($B26,'DO AN 2'!$B$11:$L$80,11,FALSE)))))</f>
        <v/>
      </c>
      <c r="AP26" s="83"/>
      <c r="AQ26" s="83"/>
      <c r="AR26" s="454"/>
      <c r="AS26" s="82">
        <f>IF(OR($AR$6="",$AR$7=""),"",IF($B26="","",IF(ISNA(VLOOKUP($B26,'TH01'!$B$11:$O$80,14,FALSE)),"",VLOOKUP($B26,'TH01'!$B$11:$O$80,14,FALSE))))</f>
        <v>7.2</v>
      </c>
      <c r="AT26" s="83"/>
      <c r="AU26" s="303"/>
      <c r="AV26" s="304"/>
      <c r="AW26" s="82">
        <f>IF(OR($AV$6="",$AV$7=""),"",IF($B26="","",IF(ISNA(VLOOKUP($B26,'TH02'!$B$11:$O$80,14,FALSE)),"",VLOOKUP($B26,'TH02'!$B$11:$O$80,14,FALSE))))</f>
        <v>6</v>
      </c>
      <c r="AX26" s="83"/>
      <c r="AY26" s="303"/>
      <c r="AZ26" s="304"/>
      <c r="BA26" s="82">
        <f>IF(OR($AZ$6="",$AZ$7=""),"",IF($B26="","",IF(ISNA(VLOOKUP($B26,'TH03'!$B$11:$O$80,14,FALSE)),"",VLOOKUP($B26,'TH03'!$B$11:$O$80,14,FALSE))))</f>
        <v>7.5</v>
      </c>
      <c r="BB26" s="83"/>
      <c r="BC26" s="303"/>
      <c r="BD26" s="86">
        <f t="shared" si="11"/>
        <v>6.64</v>
      </c>
      <c r="BE26" s="86" t="str">
        <f t="shared" si="12"/>
        <v/>
      </c>
      <c r="BF26" s="87">
        <v>61</v>
      </c>
      <c r="BG26" s="88" t="str">
        <f t="shared" si="0"/>
        <v>T.Bình</v>
      </c>
      <c r="BH26" s="88" t="str">
        <f t="shared" si="1"/>
        <v/>
      </c>
      <c r="BI26" s="87"/>
      <c r="BJ26" s="86" t="str">
        <f t="shared" si="2"/>
        <v/>
      </c>
      <c r="BK26" s="265">
        <f t="shared" si="3"/>
        <v>18</v>
      </c>
      <c r="BL26" s="88">
        <f t="shared" si="4"/>
        <v>0</v>
      </c>
      <c r="BM26" s="88">
        <f t="shared" si="5"/>
        <v>18</v>
      </c>
      <c r="BN26" s="88">
        <f t="shared" si="6"/>
        <v>0</v>
      </c>
      <c r="BO26" s="86">
        <f t="shared" si="13"/>
        <v>6.64</v>
      </c>
      <c r="BP26" s="86" t="str">
        <f t="shared" si="7"/>
        <v>BT</v>
      </c>
      <c r="BQ26" s="86">
        <f t="shared" si="14"/>
        <v>6.64</v>
      </c>
      <c r="BR26" s="86" t="str">
        <f t="shared" si="8"/>
        <v>BT</v>
      </c>
      <c r="BS26" s="87"/>
      <c r="BT26" s="276">
        <f t="shared" si="15"/>
        <v>1</v>
      </c>
      <c r="BU26" s="238">
        <f t="shared" si="16"/>
        <v>7</v>
      </c>
      <c r="BV26" s="238">
        <f t="shared" si="17"/>
        <v>8.8000000000000007</v>
      </c>
      <c r="BW26" s="238">
        <f t="shared" si="18"/>
        <v>5.3</v>
      </c>
      <c r="BX26" s="238">
        <f t="shared" si="19"/>
        <v>6.5</v>
      </c>
      <c r="BY26" s="238">
        <f t="shared" si="20"/>
        <v>4.5</v>
      </c>
      <c r="BZ26" s="238" t="str">
        <f t="shared" si="21"/>
        <v/>
      </c>
      <c r="CA26" s="238" t="str">
        <f t="shared" si="22"/>
        <v/>
      </c>
      <c r="CB26" s="238" t="str">
        <f t="shared" si="23"/>
        <v/>
      </c>
      <c r="CC26" s="238" t="str">
        <f t="shared" si="24"/>
        <v/>
      </c>
      <c r="CD26" s="238">
        <f t="shared" si="25"/>
        <v>7.2</v>
      </c>
      <c r="CE26" s="238">
        <f t="shared" si="26"/>
        <v>6</v>
      </c>
      <c r="CF26" s="238">
        <f t="shared" si="27"/>
        <v>7.5</v>
      </c>
      <c r="CG26" s="239">
        <f t="shared" si="28"/>
        <v>0</v>
      </c>
      <c r="CH26" s="238">
        <f t="shared" si="29"/>
        <v>6.8</v>
      </c>
      <c r="CI26" s="238">
        <f t="shared" si="30"/>
        <v>7.6</v>
      </c>
      <c r="CJ26" s="238">
        <f t="shared" si="31"/>
        <v>6.1</v>
      </c>
      <c r="CK26" s="238">
        <f t="shared" si="32"/>
        <v>7.4</v>
      </c>
      <c r="CL26" s="238">
        <f t="shared" si="33"/>
        <v>5.2</v>
      </c>
      <c r="CM26" s="238" t="str">
        <f t="shared" si="34"/>
        <v/>
      </c>
      <c r="CN26" s="238" t="str">
        <f t="shared" si="35"/>
        <v/>
      </c>
      <c r="CO26" s="238" t="str">
        <f t="shared" si="36"/>
        <v/>
      </c>
      <c r="CP26" s="238" t="str">
        <f t="shared" si="37"/>
        <v/>
      </c>
      <c r="CQ26" s="238">
        <f t="shared" si="38"/>
        <v>7.2</v>
      </c>
      <c r="CR26" s="238">
        <f t="shared" si="39"/>
        <v>6</v>
      </c>
      <c r="CS26" s="238">
        <f t="shared" si="40"/>
        <v>7.5</v>
      </c>
      <c r="CT26" s="240">
        <f t="shared" si="41"/>
        <v>6.64</v>
      </c>
      <c r="CU26" s="241">
        <f t="shared" si="42"/>
        <v>6.8</v>
      </c>
      <c r="CV26" s="241">
        <f t="shared" si="43"/>
        <v>7.6</v>
      </c>
      <c r="CW26" s="241">
        <f t="shared" si="44"/>
        <v>6.1</v>
      </c>
      <c r="CX26" s="241">
        <f t="shared" si="45"/>
        <v>7.4</v>
      </c>
      <c r="CY26" s="241">
        <f t="shared" si="46"/>
        <v>5.2</v>
      </c>
      <c r="CZ26" s="241" t="str">
        <f t="shared" si="47"/>
        <v/>
      </c>
      <c r="DA26" s="241" t="str">
        <f t="shared" si="48"/>
        <v/>
      </c>
      <c r="DB26" s="241" t="str">
        <f t="shared" si="49"/>
        <v/>
      </c>
      <c r="DC26" s="241" t="str">
        <f t="shared" si="50"/>
        <v/>
      </c>
      <c r="DD26" s="241">
        <f t="shared" si="51"/>
        <v>7.2</v>
      </c>
      <c r="DE26" s="241">
        <f t="shared" si="52"/>
        <v>6</v>
      </c>
      <c r="DF26" s="241">
        <f t="shared" si="53"/>
        <v>7.5</v>
      </c>
      <c r="DG26" s="242">
        <f t="shared" si="9"/>
        <v>6.64</v>
      </c>
      <c r="DH26" s="82" t="str">
        <f t="shared" si="54"/>
        <v/>
      </c>
      <c r="DI26" s="82" t="str">
        <f t="shared" si="55"/>
        <v/>
      </c>
      <c r="DJ26" s="82" t="str">
        <f t="shared" si="56"/>
        <v/>
      </c>
      <c r="DK26" s="82" t="str">
        <f t="shared" si="57"/>
        <v/>
      </c>
      <c r="DL26" s="82" t="str">
        <f t="shared" si="58"/>
        <v/>
      </c>
      <c r="DM26" s="82" t="str">
        <f t="shared" si="59"/>
        <v/>
      </c>
      <c r="DN26" s="82" t="str">
        <f t="shared" si="60"/>
        <v/>
      </c>
      <c r="DO26" s="82" t="str">
        <f t="shared" si="61"/>
        <v/>
      </c>
      <c r="DP26" s="82" t="str">
        <f t="shared" si="62"/>
        <v/>
      </c>
      <c r="DQ26" s="82" t="str">
        <f t="shared" si="63"/>
        <v/>
      </c>
      <c r="DR26" s="82" t="str">
        <f t="shared" si="64"/>
        <v/>
      </c>
      <c r="DS26" s="253" t="str">
        <f t="shared" si="65"/>
        <v/>
      </c>
      <c r="DT26" s="250">
        <f t="shared" si="66"/>
        <v>6.8</v>
      </c>
      <c r="DU26" s="238">
        <f t="shared" si="67"/>
        <v>7.6</v>
      </c>
      <c r="DV26" s="238">
        <f t="shared" si="68"/>
        <v>6.1</v>
      </c>
      <c r="DW26" s="238">
        <f t="shared" si="69"/>
        <v>7.4</v>
      </c>
      <c r="DX26" s="238">
        <f t="shared" si="70"/>
        <v>5.2</v>
      </c>
      <c r="DY26" s="238" t="str">
        <f t="shared" si="71"/>
        <v/>
      </c>
      <c r="DZ26" s="238" t="str">
        <f t="shared" si="72"/>
        <v/>
      </c>
      <c r="EA26" s="238" t="str">
        <f t="shared" si="73"/>
        <v/>
      </c>
      <c r="EB26" s="238" t="str">
        <f t="shared" si="74"/>
        <v/>
      </c>
      <c r="EC26" s="238">
        <f t="shared" si="75"/>
        <v>7.2</v>
      </c>
      <c r="ED26" s="238">
        <f t="shared" si="76"/>
        <v>6</v>
      </c>
      <c r="EE26" s="238">
        <f t="shared" si="77"/>
        <v>7.5</v>
      </c>
      <c r="EF26" s="255" t="str">
        <f t="shared" si="78"/>
        <v/>
      </c>
      <c r="EG26" s="257">
        <f t="shared" si="79"/>
        <v>6.8</v>
      </c>
      <c r="EH26" s="257">
        <f t="shared" si="80"/>
        <v>7.6</v>
      </c>
      <c r="EI26" s="257">
        <f t="shared" si="81"/>
        <v>6.1</v>
      </c>
      <c r="EJ26" s="257">
        <f t="shared" si="82"/>
        <v>7.4</v>
      </c>
      <c r="EK26" s="257">
        <f t="shared" si="83"/>
        <v>5.2</v>
      </c>
      <c r="EL26" s="257" t="str">
        <f t="shared" si="84"/>
        <v/>
      </c>
      <c r="EM26" s="257" t="str">
        <f t="shared" si="85"/>
        <v/>
      </c>
      <c r="EN26" s="257" t="str">
        <f t="shared" si="86"/>
        <v/>
      </c>
      <c r="EO26" s="257" t="str">
        <f t="shared" si="87"/>
        <v/>
      </c>
      <c r="EP26" s="257">
        <f t="shared" si="88"/>
        <v>7.2</v>
      </c>
      <c r="EQ26" s="257">
        <f t="shared" si="89"/>
        <v>6</v>
      </c>
      <c r="ER26" s="257">
        <f t="shared" si="90"/>
        <v>7.5</v>
      </c>
      <c r="ES26" s="262">
        <f t="shared" si="10"/>
        <v>6.64</v>
      </c>
      <c r="ET26" s="307">
        <f t="shared" si="91"/>
        <v>6.64</v>
      </c>
    </row>
    <row r="27" spans="1:150" s="89" customFormat="1" ht="30" customHeight="1">
      <c r="A27" s="272">
        <f>IF($B27="","",SUBTOTAL(3,$B$11:B27))</f>
        <v>17</v>
      </c>
      <c r="B27" s="457" t="s">
        <v>1561</v>
      </c>
      <c r="C27" s="76" t="str">
        <f>IF($B27="","",VLOOKUP($B27,'DS LOP HKI'!$B$2:$D$951,2,0))</f>
        <v>Nguyễn Ngọc</v>
      </c>
      <c r="D27" s="77" t="str">
        <f>IF($B27="","",VLOOKUP($B27,'DS LOP HKI'!$B$2:$D$951,3,0))</f>
        <v>Dũng</v>
      </c>
      <c r="E27" s="78"/>
      <c r="F27" s="79"/>
      <c r="G27" s="80">
        <v>2</v>
      </c>
      <c r="H27" s="81">
        <f>IF(OR($H$6="",$H$7=""),"",IF($B27="","",IF(ISNA(VLOOKUP($B27,'LT01'!$B$11:$M$80,12,FALSE)),"",IF(VLOOKUP($B27,'LT01'!$B$11:$M$80,12,FALSE)="","",VLOOKUP($B27,'LT01'!$B$11:$M$80,12,FALSE)))))</f>
        <v>7</v>
      </c>
      <c r="I27" s="82">
        <f>IF(OR($H$6="",$H$7=""),"",IF($B27="","",IF(ISNA(VLOOKUP($B27,'LT01'!$B$11:$N$80,13,FALSE)),"",VLOOKUP($B27,'LT01'!$B$11:$N$80,13,FALSE))))</f>
        <v>7.4</v>
      </c>
      <c r="J27" s="83"/>
      <c r="K27" s="84" t="str">
        <f>IF(OR($H$6="",$H$7=""),"",IF($B27="","",IF(ISNA(VLOOKUP($B27,'LT01'!$B$11:$Q$80,16,FALSE)),"",IF(VLOOKUP($B27,'LT01'!$B$11:$Q$80,16,FALSE)="","",VLOOKUP($B27,'LT01'!$B$11:$Q$80,16,FALSE)))))</f>
        <v/>
      </c>
      <c r="L27" s="85">
        <f>IF(OR($L$6="",$L$7=""),"",IF($B27="","",IF(ISNA(VLOOKUP($B27,'LT02'!$B$11:$M$80,12,FALSE)),"",IF(VLOOKUP($B27,'LT02'!$B$11:$M$80,12,FALSE)="","",VLOOKUP($B27,'LT02'!$B$11:$M$80,12,FALSE)))))</f>
        <v>5</v>
      </c>
      <c r="M27" s="82">
        <f>IF(OR($L$6="",$L$7=""),"",IF($B27="","",IF(ISNA(VLOOKUP($B27,'LT02'!$B$11:$N$80,13,FALSE)),"",VLOOKUP($B27,'LT02'!$B$11:$N$80,13,FALSE))))</f>
        <v>5.0999999999999996</v>
      </c>
      <c r="N27" s="83"/>
      <c r="O27" s="84" t="str">
        <f>IF(OR($L$6="",$L$7=""),"",IF($B27="","",IF(ISNA(VLOOKUP($B27,'LT02'!$B$11:$Q$80,16,FALSE)),"",VLOOKUP($B27,'LT02'!$B$11:$Q$80,16,FALSE))))</f>
        <v/>
      </c>
      <c r="P27" s="85">
        <f>IF(OR($P$6="",$P$7=""),"",IF($B27="","",IF(ISNA(VLOOKUP($B27,'LT03'!$B$11:$M$80,12,FALSE)),"",IF(VLOOKUP($B27,'LT03'!$B$11:$M$80,12,FALSE)="","",VLOOKUP($B27,'LT03'!$B$11:$M$80,12,FALSE)))))</f>
        <v>4</v>
      </c>
      <c r="Q27" s="82">
        <f>IF(OR($P$6="",$P$7=""),"",IF($B27="","",IF(ISNA(VLOOKUP($B27,'LT03'!$B$11:$N$80,13,FALSE)),"",VLOOKUP($B27,'LT03'!$B$11:$N$80,13,FALSE))))</f>
        <v>4.9000000000000004</v>
      </c>
      <c r="R27" s="83"/>
      <c r="S27" s="84" t="str">
        <f>IF(OR($P$6="",$P$7=""),"",IF($B27="","",IF(ISNA(VLOOKUP($B27,'LT03'!$B$11:$Q$80,16,FALSE)),"",VLOOKUP($B27,'LT03'!$B$11:$Q$80,16,FALSE))))</f>
        <v/>
      </c>
      <c r="T27" s="85">
        <f>IF(OR($T$6="",$T$7=""),"",IF($B27="","",IF(ISNA(VLOOKUP($B27,'LT04'!$B$11:$M$80,12,FALSE)),"",IF(VLOOKUP($B27,'LT04'!$B$11:$M$80,12,FALSE)="","",VLOOKUP($B27,'LT04'!$B$11:$M$80,12,FALSE)))))</f>
        <v>7.5</v>
      </c>
      <c r="U27" s="82">
        <f>IF(OR($T$6="",$T$7=""),"",IF($B27="","",IF(ISNA(VLOOKUP($B27,'LT04'!$B$11:$N$80,13,FALSE)),"",VLOOKUP($B27,'LT04'!$B$11:$N$80,13,FALSE))))</f>
        <v>6.7</v>
      </c>
      <c r="V27" s="83"/>
      <c r="W27" s="84" t="str">
        <f>IF(OR($T$6="",$T$7=""),"",IF($B27="","",IF(ISNA(VLOOKUP($B27,'LT04'!$B$11:$Q$80,16,FALSE)),"",VLOOKUP($B27,'LT04'!$B$11:$Q$80,16,FALSE))))</f>
        <v/>
      </c>
      <c r="X27" s="85">
        <f>IF(OR($X$6="",$X$7=""),"",IF($B27="","",IF(ISNA(VLOOKUP($B27,'LT05'!$B$11:$M$80,12,FALSE)),"",IF(VLOOKUP($B27,'LT05'!$B$11:$M$80,12,FALSE)="","",VLOOKUP($B27,'LT05'!$B$11:$M$80,12,FALSE)))))</f>
        <v>2.5</v>
      </c>
      <c r="Y27" s="82">
        <f>IF(OR($X$6="",$X$7=""),"",IF($B27="","",IF(ISNA(VLOOKUP($B27,'LT05'!$B$11:$N$80,13,FALSE)),"",VLOOKUP($B27,'LT05'!$B$11:$N$80,13,FALSE))))</f>
        <v>3.3</v>
      </c>
      <c r="Z27" s="83"/>
      <c r="AA27" s="84" t="str">
        <f>IF(OR($X$6="",$X$7=""),"",IF($B27="","",IF(ISNA(VLOOKUP($B27,'LT05'!$B$11:$Q$80,16,FALSE)),"",VLOOKUP($B27,'LT05'!$B$11:$Q$80,16,FALSE))))</f>
        <v/>
      </c>
      <c r="AB27" s="85" t="str">
        <f>IF(OR($AB$6="",$AB$7=""),"",IF($B27="","",IF(ISNA(VLOOKUP($B27,'LT06'!$B$11:$M$80,12,FALSE)),"",IF(VLOOKUP($B27,'LT06'!$B$11:$M$80,12,FALSE)="","",VLOOKUP($B27,'LT06'!$B$11:$M$80,12,FALSE)))))</f>
        <v/>
      </c>
      <c r="AC27" s="82" t="str">
        <f>IF(OR($AB$6="",$AB$7=""),"",IF($B27="","",IF(ISNA(VLOOKUP($B27,'LT06'!$B$11:$N$80,13,FALSE)),"",VLOOKUP($B27,'LT06'!$B$11:$N$80,13,FALSE))))</f>
        <v/>
      </c>
      <c r="AD27" s="83"/>
      <c r="AE27" s="84" t="str">
        <f>IF(OR($AB$6="",$AB$7=""),"",IF($B27="","",IF(ISNA(VLOOKUP($B27,'LT06'!$B$11:$Q$80,16,FALSE)),"",VLOOKUP($B27,'LT06'!$B$11:$Q$80,16,FALSE))))</f>
        <v/>
      </c>
      <c r="AF27" s="85" t="str">
        <f>IF(OR($AF$6="",$AF$7=""),"",IF($B27="","",IF(ISNA(VLOOKUP($B27,'LT07'!$B$11:$M$80,12,FALSE)),"",IF(VLOOKUP($B27,'LT07'!$B$11:$M$80,12,FALSE)="","",VLOOKUP($B27,'LT07'!$B$11:$M$80,12,FALSE)))))</f>
        <v/>
      </c>
      <c r="AG27" s="82" t="str">
        <f>IF(OR($AF$6="",$AF$7=""),"",IF($B27="","",IF(ISNA(VLOOKUP($B27,'LT07'!$B$11:$N$80,13,FALSE)),"",VLOOKUP($B27,'LT07'!$B$11:$N$80,13,FALSE))))</f>
        <v/>
      </c>
      <c r="AH27" s="83"/>
      <c r="AI27" s="84" t="str">
        <f>IF(OR($AF$6="",$AF$7=""),"",IF($B27="","",IF(ISNA(VLOOKUP($B27,'LT07'!$B$11:$Q$80,16,FALSE)),"",VLOOKUP($B27,'LT07'!$B$11:$Q$80,16,FALSE))))</f>
        <v/>
      </c>
      <c r="AJ27" s="304"/>
      <c r="AK27" s="82" t="str">
        <f>IF(OR($AJ$6="",$AJ$7=""),"",IF($B27="","",IF(ISNA(VLOOKUP($B27,'DO AN'!$B$11:$L$80,11,FALSE)),"",IF(VLOOKUP($B27,'DO AN'!$B$11:$L$80,11,FALSE)="","",VLOOKUP($B27,'DO AN'!$B$11:$L$80,11,FALSE)))))</f>
        <v/>
      </c>
      <c r="AL27" s="83"/>
      <c r="AM27" s="451"/>
      <c r="AN27" s="83"/>
      <c r="AO27" s="82" t="str">
        <f>IF(OR($AN$6="",$AN$7=""),"",IF($B27="","",IF(ISNA(VLOOKUP($B27,'DO AN 2'!$B$11:$L$80,11,FALSE)),"",IF(VLOOKUP($B27,'DO AN 2'!$B$11:$L$80,11,FALSE)="","",VLOOKUP($B27,'DO AN 2'!$B$11:$L$80,11,FALSE)))))</f>
        <v/>
      </c>
      <c r="AP27" s="83"/>
      <c r="AQ27" s="83"/>
      <c r="AR27" s="454"/>
      <c r="AS27" s="82">
        <f>IF(OR($AR$6="",$AR$7=""),"",IF($B27="","",IF(ISNA(VLOOKUP($B27,'TH01'!$B$11:$O$80,14,FALSE)),"",VLOOKUP($B27,'TH01'!$B$11:$O$80,14,FALSE))))</f>
        <v>6.4</v>
      </c>
      <c r="AT27" s="83"/>
      <c r="AU27" s="303"/>
      <c r="AV27" s="304"/>
      <c r="AW27" s="82">
        <f>IF(OR($AV$6="",$AV$7=""),"",IF($B27="","",IF(ISNA(VLOOKUP($B27,'TH02'!$B$11:$O$80,14,FALSE)),"",VLOOKUP($B27,'TH02'!$B$11:$O$80,14,FALSE))))</f>
        <v>3.5</v>
      </c>
      <c r="AX27" s="83"/>
      <c r="AY27" s="303"/>
      <c r="AZ27" s="304"/>
      <c r="BA27" s="82">
        <f>IF(OR($AZ$6="",$AZ$7=""),"",IF($B27="","",IF(ISNA(VLOOKUP($B27,'TH03'!$B$11:$O$80,14,FALSE)),"",VLOOKUP($B27,'TH03'!$B$11:$O$80,14,FALSE))))</f>
        <v>6.5</v>
      </c>
      <c r="BB27" s="83"/>
      <c r="BC27" s="303"/>
      <c r="BD27" s="86">
        <f t="shared" si="11"/>
        <v>5.46</v>
      </c>
      <c r="BE27" s="86" t="str">
        <f t="shared" si="12"/>
        <v/>
      </c>
      <c r="BF27" s="87">
        <v>58</v>
      </c>
      <c r="BG27" s="88" t="str">
        <f t="shared" si="0"/>
        <v>TB Yếu</v>
      </c>
      <c r="BH27" s="88" t="str">
        <f t="shared" si="1"/>
        <v/>
      </c>
      <c r="BI27" s="87"/>
      <c r="BJ27" s="86" t="str">
        <f t="shared" si="2"/>
        <v/>
      </c>
      <c r="BK27" s="265">
        <f t="shared" si="3"/>
        <v>13</v>
      </c>
      <c r="BL27" s="88">
        <f t="shared" si="4"/>
        <v>5</v>
      </c>
      <c r="BM27" s="88">
        <f t="shared" si="5"/>
        <v>13</v>
      </c>
      <c r="BN27" s="88">
        <f t="shared" si="6"/>
        <v>5</v>
      </c>
      <c r="BO27" s="86">
        <f t="shared" si="13"/>
        <v>6.26</v>
      </c>
      <c r="BP27" s="86" t="str">
        <f t="shared" si="7"/>
        <v>BT</v>
      </c>
      <c r="BQ27" s="86">
        <f t="shared" si="14"/>
        <v>6.26</v>
      </c>
      <c r="BR27" s="86" t="str">
        <f t="shared" si="8"/>
        <v>BT</v>
      </c>
      <c r="BS27" s="87"/>
      <c r="BT27" s="276">
        <f t="shared" si="15"/>
        <v>3</v>
      </c>
      <c r="BU27" s="238">
        <f t="shared" si="16"/>
        <v>7</v>
      </c>
      <c r="BV27" s="238">
        <f t="shared" si="17"/>
        <v>5</v>
      </c>
      <c r="BW27" s="238">
        <f t="shared" si="18"/>
        <v>4</v>
      </c>
      <c r="BX27" s="238">
        <f t="shared" si="19"/>
        <v>7.5</v>
      </c>
      <c r="BY27" s="238">
        <f t="shared" si="20"/>
        <v>2.5</v>
      </c>
      <c r="BZ27" s="238" t="str">
        <f t="shared" si="21"/>
        <v/>
      </c>
      <c r="CA27" s="238" t="str">
        <f t="shared" si="22"/>
        <v/>
      </c>
      <c r="CB27" s="238" t="str">
        <f t="shared" si="23"/>
        <v/>
      </c>
      <c r="CC27" s="238" t="str">
        <f t="shared" si="24"/>
        <v/>
      </c>
      <c r="CD27" s="238">
        <f t="shared" si="25"/>
        <v>6.4</v>
      </c>
      <c r="CE27" s="238">
        <f t="shared" si="26"/>
        <v>3.5</v>
      </c>
      <c r="CF27" s="238">
        <f t="shared" si="27"/>
        <v>6.5</v>
      </c>
      <c r="CG27" s="239">
        <f t="shared" si="28"/>
        <v>2</v>
      </c>
      <c r="CH27" s="238">
        <f t="shared" si="29"/>
        <v>7.4</v>
      </c>
      <c r="CI27" s="238">
        <f t="shared" si="30"/>
        <v>5.0999999999999996</v>
      </c>
      <c r="CJ27" s="238">
        <f t="shared" si="31"/>
        <v>4.9000000000000004</v>
      </c>
      <c r="CK27" s="238">
        <f t="shared" si="32"/>
        <v>6.7</v>
      </c>
      <c r="CL27" s="238">
        <f t="shared" si="33"/>
        <v>3.3</v>
      </c>
      <c r="CM27" s="238" t="str">
        <f t="shared" si="34"/>
        <v/>
      </c>
      <c r="CN27" s="238" t="str">
        <f t="shared" si="35"/>
        <v/>
      </c>
      <c r="CO27" s="238" t="str">
        <f t="shared" si="36"/>
        <v/>
      </c>
      <c r="CP27" s="238" t="str">
        <f t="shared" si="37"/>
        <v/>
      </c>
      <c r="CQ27" s="238">
        <f t="shared" si="38"/>
        <v>6.4</v>
      </c>
      <c r="CR27" s="238">
        <f t="shared" si="39"/>
        <v>3.5</v>
      </c>
      <c r="CS27" s="238">
        <f t="shared" si="40"/>
        <v>6.5</v>
      </c>
      <c r="CT27" s="240">
        <f t="shared" si="41"/>
        <v>5.46</v>
      </c>
      <c r="CU27" s="241">
        <f t="shared" si="42"/>
        <v>7.4</v>
      </c>
      <c r="CV27" s="241">
        <f t="shared" si="43"/>
        <v>5.0999999999999996</v>
      </c>
      <c r="CW27" s="241">
        <f t="shared" si="44"/>
        <v>4.9000000000000004</v>
      </c>
      <c r="CX27" s="241">
        <f t="shared" si="45"/>
        <v>6.7</v>
      </c>
      <c r="CY27" s="241" t="str">
        <f t="shared" si="46"/>
        <v/>
      </c>
      <c r="CZ27" s="241" t="str">
        <f t="shared" si="47"/>
        <v/>
      </c>
      <c r="DA27" s="241" t="str">
        <f t="shared" si="48"/>
        <v/>
      </c>
      <c r="DB27" s="241" t="str">
        <f t="shared" si="49"/>
        <v/>
      </c>
      <c r="DC27" s="241" t="str">
        <f t="shared" si="50"/>
        <v/>
      </c>
      <c r="DD27" s="241">
        <f t="shared" si="51"/>
        <v>6.4</v>
      </c>
      <c r="DE27" s="241" t="str">
        <f t="shared" si="52"/>
        <v/>
      </c>
      <c r="DF27" s="241">
        <f t="shared" si="53"/>
        <v>6.5</v>
      </c>
      <c r="DG27" s="242">
        <f t="shared" si="9"/>
        <v>6.26</v>
      </c>
      <c r="DH27" s="82" t="str">
        <f t="shared" si="54"/>
        <v/>
      </c>
      <c r="DI27" s="82" t="str">
        <f t="shared" si="55"/>
        <v/>
      </c>
      <c r="DJ27" s="82" t="str">
        <f t="shared" si="56"/>
        <v/>
      </c>
      <c r="DK27" s="82" t="str">
        <f t="shared" si="57"/>
        <v/>
      </c>
      <c r="DL27" s="82" t="str">
        <f t="shared" si="58"/>
        <v/>
      </c>
      <c r="DM27" s="82" t="str">
        <f t="shared" si="59"/>
        <v/>
      </c>
      <c r="DN27" s="82" t="str">
        <f t="shared" si="60"/>
        <v/>
      </c>
      <c r="DO27" s="82" t="str">
        <f t="shared" si="61"/>
        <v/>
      </c>
      <c r="DP27" s="82" t="str">
        <f t="shared" si="62"/>
        <v/>
      </c>
      <c r="DQ27" s="82" t="str">
        <f t="shared" si="63"/>
        <v/>
      </c>
      <c r="DR27" s="82" t="str">
        <f t="shared" si="64"/>
        <v/>
      </c>
      <c r="DS27" s="253" t="str">
        <f t="shared" si="65"/>
        <v/>
      </c>
      <c r="DT27" s="250">
        <f t="shared" si="66"/>
        <v>7.4</v>
      </c>
      <c r="DU27" s="238">
        <f t="shared" si="67"/>
        <v>5.0999999999999996</v>
      </c>
      <c r="DV27" s="238">
        <f t="shared" si="68"/>
        <v>4.9000000000000004</v>
      </c>
      <c r="DW27" s="238">
        <f t="shared" si="69"/>
        <v>6.7</v>
      </c>
      <c r="DX27" s="238">
        <f t="shared" si="70"/>
        <v>3.3</v>
      </c>
      <c r="DY27" s="238" t="str">
        <f t="shared" si="71"/>
        <v/>
      </c>
      <c r="DZ27" s="238" t="str">
        <f t="shared" si="72"/>
        <v/>
      </c>
      <c r="EA27" s="238" t="str">
        <f t="shared" si="73"/>
        <v/>
      </c>
      <c r="EB27" s="238" t="str">
        <f t="shared" si="74"/>
        <v/>
      </c>
      <c r="EC27" s="238">
        <f t="shared" si="75"/>
        <v>6.4</v>
      </c>
      <c r="ED27" s="238">
        <f t="shared" si="76"/>
        <v>3.5</v>
      </c>
      <c r="EE27" s="238">
        <f t="shared" si="77"/>
        <v>6.5</v>
      </c>
      <c r="EF27" s="255" t="str">
        <f t="shared" si="78"/>
        <v/>
      </c>
      <c r="EG27" s="257">
        <f t="shared" si="79"/>
        <v>7.4</v>
      </c>
      <c r="EH27" s="257">
        <f t="shared" si="80"/>
        <v>5.0999999999999996</v>
      </c>
      <c r="EI27" s="257">
        <f t="shared" si="81"/>
        <v>4.9000000000000004</v>
      </c>
      <c r="EJ27" s="257">
        <f t="shared" si="82"/>
        <v>6.7</v>
      </c>
      <c r="EK27" s="257" t="str">
        <f t="shared" si="83"/>
        <v/>
      </c>
      <c r="EL27" s="257" t="str">
        <f t="shared" si="84"/>
        <v/>
      </c>
      <c r="EM27" s="257" t="str">
        <f t="shared" si="85"/>
        <v/>
      </c>
      <c r="EN27" s="257" t="str">
        <f t="shared" si="86"/>
        <v/>
      </c>
      <c r="EO27" s="257" t="str">
        <f t="shared" si="87"/>
        <v/>
      </c>
      <c r="EP27" s="257">
        <f t="shared" si="88"/>
        <v>6.4</v>
      </c>
      <c r="EQ27" s="257" t="str">
        <f t="shared" si="89"/>
        <v/>
      </c>
      <c r="ER27" s="257">
        <f t="shared" si="90"/>
        <v>6.5</v>
      </c>
      <c r="ES27" s="262">
        <f t="shared" si="10"/>
        <v>6.26</v>
      </c>
      <c r="ET27" s="307">
        <f t="shared" si="91"/>
        <v>5.46</v>
      </c>
    </row>
    <row r="28" spans="1:150" s="89" customFormat="1" ht="30" customHeight="1">
      <c r="A28" s="272">
        <f>IF($B28="","",SUBTOTAL(3,$B$11:B28))</f>
        <v>18</v>
      </c>
      <c r="B28" s="457" t="s">
        <v>1813</v>
      </c>
      <c r="C28" s="76" t="str">
        <f>IF($B28="","",VLOOKUP($B28,'DS LOP HKI'!$B$2:$D$951,2,0))</f>
        <v>Cao Trùng</v>
      </c>
      <c r="D28" s="77" t="str">
        <f>IF($B28="","",VLOOKUP($B28,'DS LOP HKI'!$B$2:$D$951,3,0))</f>
        <v>Dương</v>
      </c>
      <c r="E28" s="78"/>
      <c r="F28" s="79"/>
      <c r="G28" s="80"/>
      <c r="H28" s="81">
        <f>IF(OR($H$6="",$H$7=""),"",IF($B28="","",IF(ISNA(VLOOKUP($B28,'LT01'!$B$11:$M$80,12,FALSE)),"",IF(VLOOKUP($B28,'LT01'!$B$11:$M$80,12,FALSE)="","",VLOOKUP($B28,'LT01'!$B$11:$M$80,12,FALSE)))))</f>
        <v>8.5</v>
      </c>
      <c r="I28" s="82">
        <f>IF(OR($H$6="",$H$7=""),"",IF($B28="","",IF(ISNA(VLOOKUP($B28,'LT01'!$B$11:$N$80,13,FALSE)),"",VLOOKUP($B28,'LT01'!$B$11:$N$80,13,FALSE))))</f>
        <v>7.7</v>
      </c>
      <c r="J28" s="83"/>
      <c r="K28" s="84" t="str">
        <f>IF(OR($H$6="",$H$7=""),"",IF($B28="","",IF(ISNA(VLOOKUP($B28,'LT01'!$B$11:$Q$80,16,FALSE)),"",IF(VLOOKUP($B28,'LT01'!$B$11:$Q$80,16,FALSE)="","",VLOOKUP($B28,'LT01'!$B$11:$Q$80,16,FALSE)))))</f>
        <v/>
      </c>
      <c r="L28" s="85">
        <f>IF(OR($L$6="",$L$7=""),"",IF($B28="","",IF(ISNA(VLOOKUP($B28,'LT02'!$B$11:$M$80,12,FALSE)),"",IF(VLOOKUP($B28,'LT02'!$B$11:$M$80,12,FALSE)="","",VLOOKUP($B28,'LT02'!$B$11:$M$80,12,FALSE)))))</f>
        <v>8.5</v>
      </c>
      <c r="M28" s="82">
        <f>IF(OR($L$6="",$L$7=""),"",IF($B28="","",IF(ISNA(VLOOKUP($B28,'LT02'!$B$11:$N$80,13,FALSE)),"",VLOOKUP($B28,'LT02'!$B$11:$N$80,13,FALSE))))</f>
        <v>7.8</v>
      </c>
      <c r="N28" s="83"/>
      <c r="O28" s="84" t="str">
        <f>IF(OR($L$6="",$L$7=""),"",IF($B28="","",IF(ISNA(VLOOKUP($B28,'LT02'!$B$11:$Q$80,16,FALSE)),"",VLOOKUP($B28,'LT02'!$B$11:$Q$80,16,FALSE))))</f>
        <v/>
      </c>
      <c r="P28" s="85">
        <f>IF(OR($P$6="",$P$7=""),"",IF($B28="","",IF(ISNA(VLOOKUP($B28,'LT03'!$B$11:$M$80,12,FALSE)),"",IF(VLOOKUP($B28,'LT03'!$B$11:$M$80,12,FALSE)="","",VLOOKUP($B28,'LT03'!$B$11:$M$80,12,FALSE)))))</f>
        <v>7.5</v>
      </c>
      <c r="Q28" s="82">
        <f>IF(OR($P$6="",$P$7=""),"",IF($B28="","",IF(ISNA(VLOOKUP($B28,'LT03'!$B$11:$N$80,13,FALSE)),"",VLOOKUP($B28,'LT03'!$B$11:$N$80,13,FALSE))))</f>
        <v>7.1</v>
      </c>
      <c r="R28" s="83"/>
      <c r="S28" s="84" t="str">
        <f>IF(OR($P$6="",$P$7=""),"",IF($B28="","",IF(ISNA(VLOOKUP($B28,'LT03'!$B$11:$Q$80,16,FALSE)),"",VLOOKUP($B28,'LT03'!$B$11:$Q$80,16,FALSE))))</f>
        <v/>
      </c>
      <c r="T28" s="85">
        <f>IF(OR($T$6="",$T$7=""),"",IF($B28="","",IF(ISNA(VLOOKUP($B28,'LT04'!$B$11:$M$80,12,FALSE)),"",IF(VLOOKUP($B28,'LT04'!$B$11:$M$80,12,FALSE)="","",VLOOKUP($B28,'LT04'!$B$11:$M$80,12,FALSE)))))</f>
        <v>9</v>
      </c>
      <c r="U28" s="82">
        <f>IF(OR($T$6="",$T$7=""),"",IF($B28="","",IF(ISNA(VLOOKUP($B28,'LT04'!$B$11:$N$80,13,FALSE)),"",VLOOKUP($B28,'LT04'!$B$11:$N$80,13,FALSE))))</f>
        <v>8.4</v>
      </c>
      <c r="V28" s="83"/>
      <c r="W28" s="84" t="str">
        <f>IF(OR($T$6="",$T$7=""),"",IF($B28="","",IF(ISNA(VLOOKUP($B28,'LT04'!$B$11:$Q$80,16,FALSE)),"",VLOOKUP($B28,'LT04'!$B$11:$Q$80,16,FALSE))))</f>
        <v/>
      </c>
      <c r="X28" s="85">
        <f>IF(OR($X$6="",$X$7=""),"",IF($B28="","",IF(ISNA(VLOOKUP($B28,'LT05'!$B$11:$M$80,12,FALSE)),"",IF(VLOOKUP($B28,'LT05'!$B$11:$M$80,12,FALSE)="","",VLOOKUP($B28,'LT05'!$B$11:$M$80,12,FALSE)))))</f>
        <v>4.3</v>
      </c>
      <c r="Y28" s="82">
        <f>IF(OR($X$6="",$X$7=""),"",IF($B28="","",IF(ISNA(VLOOKUP($B28,'LT05'!$B$11:$N$80,13,FALSE)),"",VLOOKUP($B28,'LT05'!$B$11:$N$80,13,FALSE))))</f>
        <v>5.7</v>
      </c>
      <c r="Z28" s="83"/>
      <c r="AA28" s="84" t="str">
        <f>IF(OR($X$6="",$X$7=""),"",IF($B28="","",IF(ISNA(VLOOKUP($B28,'LT05'!$B$11:$Q$80,16,FALSE)),"",VLOOKUP($B28,'LT05'!$B$11:$Q$80,16,FALSE))))</f>
        <v/>
      </c>
      <c r="AB28" s="85" t="str">
        <f>IF(OR($AB$6="",$AB$7=""),"",IF($B28="","",IF(ISNA(VLOOKUP($B28,'LT06'!$B$11:$M$80,12,FALSE)),"",IF(VLOOKUP($B28,'LT06'!$B$11:$M$80,12,FALSE)="","",VLOOKUP($B28,'LT06'!$B$11:$M$80,12,FALSE)))))</f>
        <v/>
      </c>
      <c r="AC28" s="82" t="str">
        <f>IF(OR($AB$6="",$AB$7=""),"",IF($B28="","",IF(ISNA(VLOOKUP($B28,'LT06'!$B$11:$N$80,13,FALSE)),"",VLOOKUP($B28,'LT06'!$B$11:$N$80,13,FALSE))))</f>
        <v/>
      </c>
      <c r="AD28" s="83"/>
      <c r="AE28" s="84" t="str">
        <f>IF(OR($AB$6="",$AB$7=""),"",IF($B28="","",IF(ISNA(VLOOKUP($B28,'LT06'!$B$11:$Q$80,16,FALSE)),"",VLOOKUP($B28,'LT06'!$B$11:$Q$80,16,FALSE))))</f>
        <v/>
      </c>
      <c r="AF28" s="85" t="str">
        <f>IF(OR($AF$6="",$AF$7=""),"",IF($B28="","",IF(ISNA(VLOOKUP($B28,'LT07'!$B$11:$M$80,12,FALSE)),"",IF(VLOOKUP($B28,'LT07'!$B$11:$M$80,12,FALSE)="","",VLOOKUP($B28,'LT07'!$B$11:$M$80,12,FALSE)))))</f>
        <v/>
      </c>
      <c r="AG28" s="82" t="str">
        <f>IF(OR($AF$6="",$AF$7=""),"",IF($B28="","",IF(ISNA(VLOOKUP($B28,'LT07'!$B$11:$N$80,13,FALSE)),"",VLOOKUP($B28,'LT07'!$B$11:$N$80,13,FALSE))))</f>
        <v/>
      </c>
      <c r="AH28" s="83"/>
      <c r="AI28" s="84" t="str">
        <f>IF(OR($AF$6="",$AF$7=""),"",IF($B28="","",IF(ISNA(VLOOKUP($B28,'LT07'!$B$11:$Q$80,16,FALSE)),"",VLOOKUP($B28,'LT07'!$B$11:$Q$80,16,FALSE))))</f>
        <v/>
      </c>
      <c r="AJ28" s="304"/>
      <c r="AK28" s="82" t="str">
        <f>IF(OR($AJ$6="",$AJ$7=""),"",IF($B28="","",IF(ISNA(VLOOKUP($B28,'DO AN'!$B$11:$L$80,11,FALSE)),"",IF(VLOOKUP($B28,'DO AN'!$B$11:$L$80,11,FALSE)="","",VLOOKUP($B28,'DO AN'!$B$11:$L$80,11,FALSE)))))</f>
        <v/>
      </c>
      <c r="AL28" s="83"/>
      <c r="AM28" s="451"/>
      <c r="AN28" s="83"/>
      <c r="AO28" s="82" t="str">
        <f>IF(OR($AN$6="",$AN$7=""),"",IF($B28="","",IF(ISNA(VLOOKUP($B28,'DO AN 2'!$B$11:$L$80,11,FALSE)),"",IF(VLOOKUP($B28,'DO AN 2'!$B$11:$L$80,11,FALSE)="","",VLOOKUP($B28,'DO AN 2'!$B$11:$L$80,11,FALSE)))))</f>
        <v/>
      </c>
      <c r="AP28" s="83"/>
      <c r="AQ28" s="83"/>
      <c r="AR28" s="454"/>
      <c r="AS28" s="82">
        <f>IF(OR($AR$6="",$AR$7=""),"",IF($B28="","",IF(ISNA(VLOOKUP($B28,'TH01'!$B$11:$O$80,14,FALSE)),"",VLOOKUP($B28,'TH01'!$B$11:$O$80,14,FALSE))))</f>
        <v>7.2</v>
      </c>
      <c r="AT28" s="83"/>
      <c r="AU28" s="303"/>
      <c r="AV28" s="304"/>
      <c r="AW28" s="82">
        <f>IF(OR($AV$6="",$AV$7=""),"",IF($B28="","",IF(ISNA(VLOOKUP($B28,'TH02'!$B$11:$O$80,14,FALSE)),"",VLOOKUP($B28,'TH02'!$B$11:$O$80,14,FALSE))))</f>
        <v>5.5</v>
      </c>
      <c r="AX28" s="83"/>
      <c r="AY28" s="303"/>
      <c r="AZ28" s="304"/>
      <c r="BA28" s="82">
        <f>IF(OR($AZ$6="",$AZ$7=""),"",IF($B28="","",IF(ISNA(VLOOKUP($B28,'TH03'!$B$11:$O$80,14,FALSE)),"",VLOOKUP($B28,'TH03'!$B$11:$O$80,14,FALSE))))</f>
        <v>7.8</v>
      </c>
      <c r="BB28" s="83"/>
      <c r="BC28" s="303"/>
      <c r="BD28" s="86">
        <f t="shared" si="11"/>
        <v>7.1</v>
      </c>
      <c r="BE28" s="86" t="str">
        <f t="shared" si="12"/>
        <v/>
      </c>
      <c r="BF28" s="87">
        <v>70</v>
      </c>
      <c r="BG28" s="88" t="str">
        <f t="shared" si="0"/>
        <v>Khá</v>
      </c>
      <c r="BH28" s="88" t="str">
        <f t="shared" si="1"/>
        <v/>
      </c>
      <c r="BI28" s="87"/>
      <c r="BJ28" s="86" t="str">
        <f t="shared" si="2"/>
        <v/>
      </c>
      <c r="BK28" s="265">
        <f t="shared" si="3"/>
        <v>18</v>
      </c>
      <c r="BL28" s="88">
        <f t="shared" si="4"/>
        <v>0</v>
      </c>
      <c r="BM28" s="88">
        <f t="shared" si="5"/>
        <v>18</v>
      </c>
      <c r="BN28" s="88">
        <f t="shared" si="6"/>
        <v>0</v>
      </c>
      <c r="BO28" s="86">
        <f t="shared" si="13"/>
        <v>7.1</v>
      </c>
      <c r="BP28" s="86" t="str">
        <f t="shared" si="7"/>
        <v>BT</v>
      </c>
      <c r="BQ28" s="86">
        <f t="shared" si="14"/>
        <v>7.1</v>
      </c>
      <c r="BR28" s="86" t="str">
        <f t="shared" si="8"/>
        <v>BT</v>
      </c>
      <c r="BS28" s="87"/>
      <c r="BT28" s="276">
        <f t="shared" si="15"/>
        <v>1</v>
      </c>
      <c r="BU28" s="238">
        <f t="shared" si="16"/>
        <v>8.5</v>
      </c>
      <c r="BV28" s="238">
        <f t="shared" si="17"/>
        <v>8.5</v>
      </c>
      <c r="BW28" s="238">
        <f t="shared" si="18"/>
        <v>7.5</v>
      </c>
      <c r="BX28" s="238">
        <f t="shared" si="19"/>
        <v>9</v>
      </c>
      <c r="BY28" s="238">
        <f t="shared" si="20"/>
        <v>4.3</v>
      </c>
      <c r="BZ28" s="238" t="str">
        <f t="shared" si="21"/>
        <v/>
      </c>
      <c r="CA28" s="238" t="str">
        <f t="shared" si="22"/>
        <v/>
      </c>
      <c r="CB28" s="238" t="str">
        <f t="shared" si="23"/>
        <v/>
      </c>
      <c r="CC28" s="238" t="str">
        <f t="shared" si="24"/>
        <v/>
      </c>
      <c r="CD28" s="238">
        <f t="shared" si="25"/>
        <v>7.2</v>
      </c>
      <c r="CE28" s="238">
        <f t="shared" si="26"/>
        <v>5.5</v>
      </c>
      <c r="CF28" s="238">
        <f t="shared" si="27"/>
        <v>7.8</v>
      </c>
      <c r="CG28" s="239">
        <f t="shared" si="28"/>
        <v>0</v>
      </c>
      <c r="CH28" s="238">
        <f t="shared" si="29"/>
        <v>7.7</v>
      </c>
      <c r="CI28" s="238">
        <f t="shared" si="30"/>
        <v>7.8</v>
      </c>
      <c r="CJ28" s="238">
        <f t="shared" si="31"/>
        <v>7.1</v>
      </c>
      <c r="CK28" s="238">
        <f t="shared" si="32"/>
        <v>8.4</v>
      </c>
      <c r="CL28" s="238">
        <f t="shared" si="33"/>
        <v>5.7</v>
      </c>
      <c r="CM28" s="238" t="str">
        <f t="shared" si="34"/>
        <v/>
      </c>
      <c r="CN28" s="238" t="str">
        <f t="shared" si="35"/>
        <v/>
      </c>
      <c r="CO28" s="238" t="str">
        <f t="shared" si="36"/>
        <v/>
      </c>
      <c r="CP28" s="238" t="str">
        <f t="shared" si="37"/>
        <v/>
      </c>
      <c r="CQ28" s="238">
        <f t="shared" si="38"/>
        <v>7.2</v>
      </c>
      <c r="CR28" s="238">
        <f t="shared" si="39"/>
        <v>5.5</v>
      </c>
      <c r="CS28" s="238">
        <f t="shared" si="40"/>
        <v>7.8</v>
      </c>
      <c r="CT28" s="240">
        <f t="shared" si="41"/>
        <v>7.1</v>
      </c>
      <c r="CU28" s="241">
        <f t="shared" si="42"/>
        <v>7.7</v>
      </c>
      <c r="CV28" s="241">
        <f t="shared" si="43"/>
        <v>7.8</v>
      </c>
      <c r="CW28" s="241">
        <f t="shared" si="44"/>
        <v>7.1</v>
      </c>
      <c r="CX28" s="241">
        <f t="shared" si="45"/>
        <v>8.4</v>
      </c>
      <c r="CY28" s="241">
        <f t="shared" si="46"/>
        <v>5.7</v>
      </c>
      <c r="CZ28" s="241" t="str">
        <f t="shared" si="47"/>
        <v/>
      </c>
      <c r="DA28" s="241" t="str">
        <f t="shared" si="48"/>
        <v/>
      </c>
      <c r="DB28" s="241" t="str">
        <f t="shared" si="49"/>
        <v/>
      </c>
      <c r="DC28" s="241" t="str">
        <f t="shared" si="50"/>
        <v/>
      </c>
      <c r="DD28" s="241">
        <f t="shared" si="51"/>
        <v>7.2</v>
      </c>
      <c r="DE28" s="241">
        <f t="shared" si="52"/>
        <v>5.5</v>
      </c>
      <c r="DF28" s="241">
        <f t="shared" si="53"/>
        <v>7.8</v>
      </c>
      <c r="DG28" s="242">
        <f t="shared" si="9"/>
        <v>7.1</v>
      </c>
      <c r="DH28" s="82" t="str">
        <f t="shared" si="54"/>
        <v/>
      </c>
      <c r="DI28" s="82" t="str">
        <f t="shared" si="55"/>
        <v/>
      </c>
      <c r="DJ28" s="82" t="str">
        <f t="shared" si="56"/>
        <v/>
      </c>
      <c r="DK28" s="82" t="str">
        <f t="shared" si="57"/>
        <v/>
      </c>
      <c r="DL28" s="82" t="str">
        <f t="shared" si="58"/>
        <v/>
      </c>
      <c r="DM28" s="82" t="str">
        <f t="shared" si="59"/>
        <v/>
      </c>
      <c r="DN28" s="82" t="str">
        <f t="shared" si="60"/>
        <v/>
      </c>
      <c r="DO28" s="82" t="str">
        <f t="shared" si="61"/>
        <v/>
      </c>
      <c r="DP28" s="82" t="str">
        <f t="shared" si="62"/>
        <v/>
      </c>
      <c r="DQ28" s="82" t="str">
        <f t="shared" si="63"/>
        <v/>
      </c>
      <c r="DR28" s="82" t="str">
        <f t="shared" si="64"/>
        <v/>
      </c>
      <c r="DS28" s="253" t="str">
        <f t="shared" si="65"/>
        <v/>
      </c>
      <c r="DT28" s="250">
        <f t="shared" si="66"/>
        <v>7.7</v>
      </c>
      <c r="DU28" s="238">
        <f t="shared" si="67"/>
        <v>7.8</v>
      </c>
      <c r="DV28" s="238">
        <f t="shared" si="68"/>
        <v>7.1</v>
      </c>
      <c r="DW28" s="238">
        <f t="shared" si="69"/>
        <v>8.4</v>
      </c>
      <c r="DX28" s="238">
        <f t="shared" si="70"/>
        <v>5.7</v>
      </c>
      <c r="DY28" s="238" t="str">
        <f t="shared" si="71"/>
        <v/>
      </c>
      <c r="DZ28" s="238" t="str">
        <f t="shared" si="72"/>
        <v/>
      </c>
      <c r="EA28" s="238" t="str">
        <f t="shared" si="73"/>
        <v/>
      </c>
      <c r="EB28" s="238" t="str">
        <f t="shared" si="74"/>
        <v/>
      </c>
      <c r="EC28" s="238">
        <f t="shared" si="75"/>
        <v>7.2</v>
      </c>
      <c r="ED28" s="238">
        <f t="shared" si="76"/>
        <v>5.5</v>
      </c>
      <c r="EE28" s="238">
        <f t="shared" si="77"/>
        <v>7.8</v>
      </c>
      <c r="EF28" s="255" t="str">
        <f t="shared" si="78"/>
        <v/>
      </c>
      <c r="EG28" s="257">
        <f t="shared" si="79"/>
        <v>7.7</v>
      </c>
      <c r="EH28" s="257">
        <f t="shared" si="80"/>
        <v>7.8</v>
      </c>
      <c r="EI28" s="257">
        <f t="shared" si="81"/>
        <v>7.1</v>
      </c>
      <c r="EJ28" s="257">
        <f t="shared" si="82"/>
        <v>8.4</v>
      </c>
      <c r="EK28" s="257">
        <f t="shared" si="83"/>
        <v>5.7</v>
      </c>
      <c r="EL28" s="257" t="str">
        <f t="shared" si="84"/>
        <v/>
      </c>
      <c r="EM28" s="257" t="str">
        <f t="shared" si="85"/>
        <v/>
      </c>
      <c r="EN28" s="257" t="str">
        <f t="shared" si="86"/>
        <v/>
      </c>
      <c r="EO28" s="257" t="str">
        <f t="shared" si="87"/>
        <v/>
      </c>
      <c r="EP28" s="257">
        <f t="shared" si="88"/>
        <v>7.2</v>
      </c>
      <c r="EQ28" s="257">
        <f t="shared" si="89"/>
        <v>5.5</v>
      </c>
      <c r="ER28" s="257">
        <f t="shared" si="90"/>
        <v>7.8</v>
      </c>
      <c r="ES28" s="262">
        <f t="shared" si="10"/>
        <v>7.1</v>
      </c>
      <c r="ET28" s="307">
        <f t="shared" si="91"/>
        <v>7.1</v>
      </c>
    </row>
    <row r="29" spans="1:150" s="89" customFormat="1" ht="30" customHeight="1">
      <c r="A29" s="272">
        <f>IF($B29="","",SUBTOTAL(3,$B$11:B29))</f>
        <v>19</v>
      </c>
      <c r="B29" s="457" t="s">
        <v>1816</v>
      </c>
      <c r="C29" s="76" t="str">
        <f>IF($B29="","",VLOOKUP($B29,'DS LOP HKI'!$B$2:$D$951,2,0))</f>
        <v>Hoàng Văn</v>
      </c>
      <c r="D29" s="77" t="str">
        <f>IF($B29="","",VLOOKUP($B29,'DS LOP HKI'!$B$2:$D$951,3,0))</f>
        <v>Duy</v>
      </c>
      <c r="E29" s="78"/>
      <c r="F29" s="79"/>
      <c r="G29" s="80">
        <v>3</v>
      </c>
      <c r="H29" s="81">
        <f>IF(OR($H$6="",$H$7=""),"",IF($B29="","",IF(ISNA(VLOOKUP($B29,'LT01'!$B$11:$M$80,12,FALSE)),"",IF(VLOOKUP($B29,'LT01'!$B$11:$M$80,12,FALSE)="","",VLOOKUP($B29,'LT01'!$B$11:$M$80,12,FALSE)))))</f>
        <v>8.5</v>
      </c>
      <c r="I29" s="82">
        <f>IF(OR($H$6="",$H$7=""),"",IF($B29="","",IF(ISNA(VLOOKUP($B29,'LT01'!$B$11:$N$80,13,FALSE)),"",VLOOKUP($B29,'LT01'!$B$11:$N$80,13,FALSE))))</f>
        <v>6.8</v>
      </c>
      <c r="J29" s="83"/>
      <c r="K29" s="84" t="str">
        <f>IF(OR($H$6="",$H$7=""),"",IF($B29="","",IF(ISNA(VLOOKUP($B29,'LT01'!$B$11:$Q$80,16,FALSE)),"",IF(VLOOKUP($B29,'LT01'!$B$11:$Q$80,16,FALSE)="","",VLOOKUP($B29,'LT01'!$B$11:$Q$80,16,FALSE)))))</f>
        <v/>
      </c>
      <c r="L29" s="85">
        <f>IF(OR($L$6="",$L$7=""),"",IF($B29="","",IF(ISNA(VLOOKUP($B29,'LT02'!$B$11:$M$80,12,FALSE)),"",IF(VLOOKUP($B29,'LT02'!$B$11:$M$80,12,FALSE)="","",VLOOKUP($B29,'LT02'!$B$11:$M$80,12,FALSE)))))</f>
        <v>3.8</v>
      </c>
      <c r="M29" s="82">
        <f>IF(OR($L$6="",$L$7=""),"",IF($B29="","",IF(ISNA(VLOOKUP($B29,'LT02'!$B$11:$N$80,13,FALSE)),"",VLOOKUP($B29,'LT02'!$B$11:$N$80,13,FALSE))))</f>
        <v>4.8</v>
      </c>
      <c r="N29" s="83"/>
      <c r="O29" s="84" t="str">
        <f>IF(OR($L$6="",$L$7=""),"",IF($B29="","",IF(ISNA(VLOOKUP($B29,'LT02'!$B$11:$Q$80,16,FALSE)),"",VLOOKUP($B29,'LT02'!$B$11:$Q$80,16,FALSE))))</f>
        <v/>
      </c>
      <c r="P29" s="85">
        <f>IF(OR($P$6="",$P$7=""),"",IF($B29="","",IF(ISNA(VLOOKUP($B29,'LT03'!$B$11:$M$80,12,FALSE)),"",IF(VLOOKUP($B29,'LT03'!$B$11:$M$80,12,FALSE)="","",VLOOKUP($B29,'LT03'!$B$11:$M$80,12,FALSE)))))</f>
        <v>4.8</v>
      </c>
      <c r="Q29" s="82">
        <f>IF(OR($P$6="",$P$7=""),"",IF($B29="","",IF(ISNA(VLOOKUP($B29,'LT03'!$B$11:$N$80,13,FALSE)),"",VLOOKUP($B29,'LT03'!$B$11:$N$80,13,FALSE))))</f>
        <v>4.8</v>
      </c>
      <c r="R29" s="83"/>
      <c r="S29" s="84" t="str">
        <f>IF(OR($P$6="",$P$7=""),"",IF($B29="","",IF(ISNA(VLOOKUP($B29,'LT03'!$B$11:$Q$80,16,FALSE)),"",VLOOKUP($B29,'LT03'!$B$11:$Q$80,16,FALSE))))</f>
        <v/>
      </c>
      <c r="T29" s="85">
        <f>IF(OR($T$6="",$T$7=""),"",IF($B29="","",IF(ISNA(VLOOKUP($B29,'LT04'!$B$11:$M$80,12,FALSE)),"",IF(VLOOKUP($B29,'LT04'!$B$11:$M$80,12,FALSE)="","",VLOOKUP($B29,'LT04'!$B$11:$M$80,12,FALSE)))))</f>
        <v>7.3</v>
      </c>
      <c r="U29" s="82">
        <f>IF(OR($T$6="",$T$7=""),"",IF($B29="","",IF(ISNA(VLOOKUP($B29,'LT04'!$B$11:$N$80,13,FALSE)),"",VLOOKUP($B29,'LT04'!$B$11:$N$80,13,FALSE))))</f>
        <v>6.9</v>
      </c>
      <c r="V29" s="83"/>
      <c r="W29" s="84" t="str">
        <f>IF(OR($T$6="",$T$7=""),"",IF($B29="","",IF(ISNA(VLOOKUP($B29,'LT04'!$B$11:$Q$80,16,FALSE)),"",VLOOKUP($B29,'LT04'!$B$11:$Q$80,16,FALSE))))</f>
        <v/>
      </c>
      <c r="X29" s="85">
        <f>IF(OR($X$6="",$X$7=""),"",IF($B29="","",IF(ISNA(VLOOKUP($B29,'LT05'!$B$11:$M$80,12,FALSE)),"",IF(VLOOKUP($B29,'LT05'!$B$11:$M$80,12,FALSE)="","",VLOOKUP($B29,'LT05'!$B$11:$M$80,12,FALSE)))))</f>
        <v>3.5</v>
      </c>
      <c r="Y29" s="82">
        <f>IF(OR($X$6="",$X$7=""),"",IF($B29="","",IF(ISNA(VLOOKUP($B29,'LT05'!$B$11:$N$80,13,FALSE)),"",VLOOKUP($B29,'LT05'!$B$11:$N$80,13,FALSE))))</f>
        <v>4.2</v>
      </c>
      <c r="Z29" s="83"/>
      <c r="AA29" s="84" t="str">
        <f>IF(OR($X$6="",$X$7=""),"",IF($B29="","",IF(ISNA(VLOOKUP($B29,'LT05'!$B$11:$Q$80,16,FALSE)),"",VLOOKUP($B29,'LT05'!$B$11:$Q$80,16,FALSE))))</f>
        <v/>
      </c>
      <c r="AB29" s="85" t="str">
        <f>IF(OR($AB$6="",$AB$7=""),"",IF($B29="","",IF(ISNA(VLOOKUP($B29,'LT06'!$B$11:$M$80,12,FALSE)),"",IF(VLOOKUP($B29,'LT06'!$B$11:$M$80,12,FALSE)="","",VLOOKUP($B29,'LT06'!$B$11:$M$80,12,FALSE)))))</f>
        <v/>
      </c>
      <c r="AC29" s="82" t="str">
        <f>IF(OR($AB$6="",$AB$7=""),"",IF($B29="","",IF(ISNA(VLOOKUP($B29,'LT06'!$B$11:$N$80,13,FALSE)),"",VLOOKUP($B29,'LT06'!$B$11:$N$80,13,FALSE))))</f>
        <v/>
      </c>
      <c r="AD29" s="83"/>
      <c r="AE29" s="84" t="str">
        <f>IF(OR($AB$6="",$AB$7=""),"",IF($B29="","",IF(ISNA(VLOOKUP($B29,'LT06'!$B$11:$Q$80,16,FALSE)),"",VLOOKUP($B29,'LT06'!$B$11:$Q$80,16,FALSE))))</f>
        <v/>
      </c>
      <c r="AF29" s="85" t="str">
        <f>IF(OR($AF$6="",$AF$7=""),"",IF($B29="","",IF(ISNA(VLOOKUP($B29,'LT07'!$B$11:$M$80,12,FALSE)),"",IF(VLOOKUP($B29,'LT07'!$B$11:$M$80,12,FALSE)="","",VLOOKUP($B29,'LT07'!$B$11:$M$80,12,FALSE)))))</f>
        <v/>
      </c>
      <c r="AG29" s="82" t="str">
        <f>IF(OR($AF$6="",$AF$7=""),"",IF($B29="","",IF(ISNA(VLOOKUP($B29,'LT07'!$B$11:$N$80,13,FALSE)),"",VLOOKUP($B29,'LT07'!$B$11:$N$80,13,FALSE))))</f>
        <v/>
      </c>
      <c r="AH29" s="83"/>
      <c r="AI29" s="84" t="str">
        <f>IF(OR($AF$6="",$AF$7=""),"",IF($B29="","",IF(ISNA(VLOOKUP($B29,'LT07'!$B$11:$Q$80,16,FALSE)),"",VLOOKUP($B29,'LT07'!$B$11:$Q$80,16,FALSE))))</f>
        <v/>
      </c>
      <c r="AJ29" s="304"/>
      <c r="AK29" s="82" t="str">
        <f>IF(OR($AJ$6="",$AJ$7=""),"",IF($B29="","",IF(ISNA(VLOOKUP($B29,'DO AN'!$B$11:$L$80,11,FALSE)),"",IF(VLOOKUP($B29,'DO AN'!$B$11:$L$80,11,FALSE)="","",VLOOKUP($B29,'DO AN'!$B$11:$L$80,11,FALSE)))))</f>
        <v/>
      </c>
      <c r="AL29" s="83"/>
      <c r="AM29" s="451"/>
      <c r="AN29" s="83"/>
      <c r="AO29" s="82" t="str">
        <f>IF(OR($AN$6="",$AN$7=""),"",IF($B29="","",IF(ISNA(VLOOKUP($B29,'DO AN 2'!$B$11:$L$80,11,FALSE)),"",IF(VLOOKUP($B29,'DO AN 2'!$B$11:$L$80,11,FALSE)="","",VLOOKUP($B29,'DO AN 2'!$B$11:$L$80,11,FALSE)))))</f>
        <v/>
      </c>
      <c r="AP29" s="83"/>
      <c r="AQ29" s="83"/>
      <c r="AR29" s="454"/>
      <c r="AS29" s="82">
        <f>IF(OR($AR$6="",$AR$7=""),"",IF($B29="","",IF(ISNA(VLOOKUP($B29,'TH01'!$B$11:$O$80,14,FALSE)),"",VLOOKUP($B29,'TH01'!$B$11:$O$80,14,FALSE))))</f>
        <v>5.2</v>
      </c>
      <c r="AT29" s="83"/>
      <c r="AU29" s="303"/>
      <c r="AV29" s="304"/>
      <c r="AW29" s="82">
        <f>IF(OR($AV$6="",$AV$7=""),"",IF($B29="","",IF(ISNA(VLOOKUP($B29,'TH02'!$B$11:$O$80,14,FALSE)),"",VLOOKUP($B29,'TH02'!$B$11:$O$80,14,FALSE))))</f>
        <v>1.5</v>
      </c>
      <c r="AX29" s="83"/>
      <c r="AY29" s="303"/>
      <c r="AZ29" s="304"/>
      <c r="BA29" s="82">
        <f>IF(OR($AZ$6="",$AZ$7=""),"",IF($B29="","",IF(ISNA(VLOOKUP($B29,'TH03'!$B$11:$O$80,14,FALSE)),"",VLOOKUP($B29,'TH03'!$B$11:$O$80,14,FALSE))))</f>
        <v>6.5</v>
      </c>
      <c r="BB29" s="83"/>
      <c r="BC29" s="303"/>
      <c r="BD29" s="86">
        <f t="shared" si="11"/>
        <v>5.13</v>
      </c>
      <c r="BE29" s="86" t="str">
        <f t="shared" si="12"/>
        <v/>
      </c>
      <c r="BF29" s="87">
        <v>54</v>
      </c>
      <c r="BG29" s="88" t="str">
        <f t="shared" si="0"/>
        <v>TB Yếu</v>
      </c>
      <c r="BH29" s="88" t="str">
        <f t="shared" si="1"/>
        <v/>
      </c>
      <c r="BI29" s="87"/>
      <c r="BJ29" s="86" t="str">
        <f t="shared" si="2"/>
        <v/>
      </c>
      <c r="BK29" s="265">
        <f t="shared" si="3"/>
        <v>16</v>
      </c>
      <c r="BL29" s="88">
        <f t="shared" si="4"/>
        <v>2</v>
      </c>
      <c r="BM29" s="88">
        <f t="shared" si="5"/>
        <v>16</v>
      </c>
      <c r="BN29" s="88">
        <f t="shared" si="6"/>
        <v>2</v>
      </c>
      <c r="BO29" s="86">
        <f t="shared" si="13"/>
        <v>5.59</v>
      </c>
      <c r="BP29" s="86" t="str">
        <f t="shared" si="7"/>
        <v>BT</v>
      </c>
      <c r="BQ29" s="86">
        <f t="shared" si="14"/>
        <v>5.59</v>
      </c>
      <c r="BR29" s="86" t="str">
        <f t="shared" si="8"/>
        <v>BT</v>
      </c>
      <c r="BS29" s="87"/>
      <c r="BT29" s="276">
        <f t="shared" si="15"/>
        <v>4</v>
      </c>
      <c r="BU29" s="238">
        <f t="shared" si="16"/>
        <v>8.5</v>
      </c>
      <c r="BV29" s="238">
        <f t="shared" si="17"/>
        <v>3.8</v>
      </c>
      <c r="BW29" s="238">
        <f t="shared" si="18"/>
        <v>4.8</v>
      </c>
      <c r="BX29" s="238">
        <f t="shared" si="19"/>
        <v>7.3</v>
      </c>
      <c r="BY29" s="238">
        <f t="shared" si="20"/>
        <v>3.5</v>
      </c>
      <c r="BZ29" s="238" t="str">
        <f t="shared" si="21"/>
        <v/>
      </c>
      <c r="CA29" s="238" t="str">
        <f t="shared" si="22"/>
        <v/>
      </c>
      <c r="CB29" s="238" t="str">
        <f t="shared" si="23"/>
        <v/>
      </c>
      <c r="CC29" s="238" t="str">
        <f t="shared" si="24"/>
        <v/>
      </c>
      <c r="CD29" s="238">
        <f t="shared" si="25"/>
        <v>5.2</v>
      </c>
      <c r="CE29" s="238">
        <f t="shared" si="26"/>
        <v>1.5</v>
      </c>
      <c r="CF29" s="238">
        <f t="shared" si="27"/>
        <v>6.5</v>
      </c>
      <c r="CG29" s="239">
        <f t="shared" si="28"/>
        <v>1</v>
      </c>
      <c r="CH29" s="238">
        <f t="shared" si="29"/>
        <v>6.8</v>
      </c>
      <c r="CI29" s="238">
        <f t="shared" si="30"/>
        <v>4.8</v>
      </c>
      <c r="CJ29" s="238">
        <f t="shared" si="31"/>
        <v>4.8</v>
      </c>
      <c r="CK29" s="238">
        <f t="shared" si="32"/>
        <v>6.9</v>
      </c>
      <c r="CL29" s="238">
        <f t="shared" si="33"/>
        <v>4.2</v>
      </c>
      <c r="CM29" s="238" t="str">
        <f t="shared" si="34"/>
        <v/>
      </c>
      <c r="CN29" s="238" t="str">
        <f t="shared" si="35"/>
        <v/>
      </c>
      <c r="CO29" s="238" t="str">
        <f t="shared" si="36"/>
        <v/>
      </c>
      <c r="CP29" s="238" t="str">
        <f t="shared" si="37"/>
        <v/>
      </c>
      <c r="CQ29" s="238">
        <f t="shared" si="38"/>
        <v>5.2</v>
      </c>
      <c r="CR29" s="238">
        <f t="shared" si="39"/>
        <v>1.5</v>
      </c>
      <c r="CS29" s="238">
        <f t="shared" si="40"/>
        <v>6.5</v>
      </c>
      <c r="CT29" s="240">
        <f t="shared" si="41"/>
        <v>5.13</v>
      </c>
      <c r="CU29" s="241">
        <f t="shared" si="42"/>
        <v>6.8</v>
      </c>
      <c r="CV29" s="241">
        <f t="shared" si="43"/>
        <v>4.8</v>
      </c>
      <c r="CW29" s="241">
        <f t="shared" si="44"/>
        <v>4.8</v>
      </c>
      <c r="CX29" s="241">
        <f t="shared" si="45"/>
        <v>6.9</v>
      </c>
      <c r="CY29" s="241">
        <f t="shared" si="46"/>
        <v>4.2</v>
      </c>
      <c r="CZ29" s="241" t="str">
        <f t="shared" si="47"/>
        <v/>
      </c>
      <c r="DA29" s="241" t="str">
        <f t="shared" si="48"/>
        <v/>
      </c>
      <c r="DB29" s="241" t="str">
        <f t="shared" si="49"/>
        <v/>
      </c>
      <c r="DC29" s="241" t="str">
        <f t="shared" si="50"/>
        <v/>
      </c>
      <c r="DD29" s="241">
        <f t="shared" si="51"/>
        <v>5.2</v>
      </c>
      <c r="DE29" s="241" t="str">
        <f t="shared" si="52"/>
        <v/>
      </c>
      <c r="DF29" s="241">
        <f t="shared" si="53"/>
        <v>6.5</v>
      </c>
      <c r="DG29" s="242">
        <f t="shared" si="9"/>
        <v>5.59</v>
      </c>
      <c r="DH29" s="82" t="str">
        <f t="shared" si="54"/>
        <v/>
      </c>
      <c r="DI29" s="82" t="str">
        <f t="shared" si="55"/>
        <v/>
      </c>
      <c r="DJ29" s="82" t="str">
        <f t="shared" si="56"/>
        <v/>
      </c>
      <c r="DK29" s="82" t="str">
        <f t="shared" si="57"/>
        <v/>
      </c>
      <c r="DL29" s="82" t="str">
        <f t="shared" si="58"/>
        <v/>
      </c>
      <c r="DM29" s="82" t="str">
        <f t="shared" si="59"/>
        <v/>
      </c>
      <c r="DN29" s="82" t="str">
        <f t="shared" si="60"/>
        <v/>
      </c>
      <c r="DO29" s="82" t="str">
        <f t="shared" si="61"/>
        <v/>
      </c>
      <c r="DP29" s="82" t="str">
        <f t="shared" si="62"/>
        <v/>
      </c>
      <c r="DQ29" s="82" t="str">
        <f t="shared" si="63"/>
        <v/>
      </c>
      <c r="DR29" s="82" t="str">
        <f t="shared" si="64"/>
        <v/>
      </c>
      <c r="DS29" s="253" t="str">
        <f t="shared" si="65"/>
        <v/>
      </c>
      <c r="DT29" s="250">
        <f t="shared" si="66"/>
        <v>6.8</v>
      </c>
      <c r="DU29" s="238">
        <f t="shared" si="67"/>
        <v>4.8</v>
      </c>
      <c r="DV29" s="238">
        <f t="shared" si="68"/>
        <v>4.8</v>
      </c>
      <c r="DW29" s="238">
        <f t="shared" si="69"/>
        <v>6.9</v>
      </c>
      <c r="DX29" s="238">
        <f t="shared" si="70"/>
        <v>4.2</v>
      </c>
      <c r="DY29" s="238" t="str">
        <f t="shared" si="71"/>
        <v/>
      </c>
      <c r="DZ29" s="238" t="str">
        <f t="shared" si="72"/>
        <v/>
      </c>
      <c r="EA29" s="238" t="str">
        <f t="shared" si="73"/>
        <v/>
      </c>
      <c r="EB29" s="238" t="str">
        <f t="shared" si="74"/>
        <v/>
      </c>
      <c r="EC29" s="238">
        <f t="shared" si="75"/>
        <v>5.2</v>
      </c>
      <c r="ED29" s="238">
        <f t="shared" si="76"/>
        <v>1.5</v>
      </c>
      <c r="EE29" s="238">
        <f t="shared" si="77"/>
        <v>6.5</v>
      </c>
      <c r="EF29" s="255" t="str">
        <f t="shared" si="78"/>
        <v/>
      </c>
      <c r="EG29" s="257">
        <f t="shared" si="79"/>
        <v>6.8</v>
      </c>
      <c r="EH29" s="257">
        <f t="shared" si="80"/>
        <v>4.8</v>
      </c>
      <c r="EI29" s="257">
        <f t="shared" si="81"/>
        <v>4.8</v>
      </c>
      <c r="EJ29" s="257">
        <f t="shared" si="82"/>
        <v>6.9</v>
      </c>
      <c r="EK29" s="257">
        <f t="shared" si="83"/>
        <v>4.2</v>
      </c>
      <c r="EL29" s="257" t="str">
        <f t="shared" si="84"/>
        <v/>
      </c>
      <c r="EM29" s="257" t="str">
        <f t="shared" si="85"/>
        <v/>
      </c>
      <c r="EN29" s="257" t="str">
        <f t="shared" si="86"/>
        <v/>
      </c>
      <c r="EO29" s="257" t="str">
        <f t="shared" si="87"/>
        <v/>
      </c>
      <c r="EP29" s="257">
        <f t="shared" si="88"/>
        <v>5.2</v>
      </c>
      <c r="EQ29" s="257" t="str">
        <f t="shared" si="89"/>
        <v/>
      </c>
      <c r="ER29" s="257">
        <f t="shared" si="90"/>
        <v>6.5</v>
      </c>
      <c r="ES29" s="262">
        <f t="shared" si="10"/>
        <v>5.59</v>
      </c>
      <c r="ET29" s="307">
        <f t="shared" si="91"/>
        <v>5.13</v>
      </c>
    </row>
    <row r="30" spans="1:150" s="89" customFormat="1" ht="30" customHeight="1">
      <c r="A30" s="272">
        <f>IF($B30="","",SUBTOTAL(3,$B$11:B30))</f>
        <v>20</v>
      </c>
      <c r="B30" s="457" t="s">
        <v>1818</v>
      </c>
      <c r="C30" s="76" t="str">
        <f>IF($B30="","",VLOOKUP($B30,'DS LOP HKI'!$B$2:$D$951,2,0))</f>
        <v>Lâm Văn</v>
      </c>
      <c r="D30" s="77" t="str">
        <f>IF($B30="","",VLOOKUP($B30,'DS LOP HKI'!$B$2:$D$951,3,0))</f>
        <v>Duy</v>
      </c>
      <c r="E30" s="78"/>
      <c r="F30" s="79"/>
      <c r="G30" s="80">
        <v>7</v>
      </c>
      <c r="H30" s="81">
        <f>IF(OR($H$6="",$H$7=""),"",IF($B30="","",IF(ISNA(VLOOKUP($B30,'LT01'!$B$11:$M$80,12,FALSE)),"",IF(VLOOKUP($B30,'LT01'!$B$11:$M$80,12,FALSE)="","",VLOOKUP($B30,'LT01'!$B$11:$M$80,12,FALSE)))))</f>
        <v>6</v>
      </c>
      <c r="I30" s="82">
        <f>IF(OR($H$6="",$H$7=""),"",IF($B30="","",IF(ISNA(VLOOKUP($B30,'LT01'!$B$11:$N$80,13,FALSE)),"",VLOOKUP($B30,'LT01'!$B$11:$N$80,13,FALSE))))</f>
        <v>6.5</v>
      </c>
      <c r="J30" s="83"/>
      <c r="K30" s="84" t="str">
        <f>IF(OR($H$6="",$H$7=""),"",IF($B30="","",IF(ISNA(VLOOKUP($B30,'LT01'!$B$11:$Q$80,16,FALSE)),"",IF(VLOOKUP($B30,'LT01'!$B$11:$Q$80,16,FALSE)="","",VLOOKUP($B30,'LT01'!$B$11:$Q$80,16,FALSE)))))</f>
        <v/>
      </c>
      <c r="L30" s="85">
        <f>IF(OR($L$6="",$L$7=""),"",IF($B30="","",IF(ISNA(VLOOKUP($B30,'LT02'!$B$11:$M$80,12,FALSE)),"",IF(VLOOKUP($B30,'LT02'!$B$11:$M$80,12,FALSE)="","",VLOOKUP($B30,'LT02'!$B$11:$M$80,12,FALSE)))))</f>
        <v>6.5</v>
      </c>
      <c r="M30" s="82">
        <f>IF(OR($L$6="",$L$7=""),"",IF($B30="","",IF(ISNA(VLOOKUP($B30,'LT02'!$B$11:$N$80,13,FALSE)),"",VLOOKUP($B30,'LT02'!$B$11:$N$80,13,FALSE))))</f>
        <v>6.8</v>
      </c>
      <c r="N30" s="83"/>
      <c r="O30" s="84" t="str">
        <f>IF(OR($L$6="",$L$7=""),"",IF($B30="","",IF(ISNA(VLOOKUP($B30,'LT02'!$B$11:$Q$80,16,FALSE)),"",VLOOKUP($B30,'LT02'!$B$11:$Q$80,16,FALSE))))</f>
        <v/>
      </c>
      <c r="P30" s="85">
        <f>IF(OR($P$6="",$P$7=""),"",IF($B30="","",IF(ISNA(VLOOKUP($B30,'LT03'!$B$11:$M$80,12,FALSE)),"",IF(VLOOKUP($B30,'LT03'!$B$11:$M$80,12,FALSE)="","",VLOOKUP($B30,'LT03'!$B$11:$M$80,12,FALSE)))))</f>
        <v>4</v>
      </c>
      <c r="Q30" s="82">
        <f>IF(OR($P$6="",$P$7=""),"",IF($B30="","",IF(ISNA(VLOOKUP($B30,'LT03'!$B$11:$N$80,13,FALSE)),"",VLOOKUP($B30,'LT03'!$B$11:$N$80,13,FALSE))))</f>
        <v>4.7</v>
      </c>
      <c r="R30" s="83"/>
      <c r="S30" s="84" t="str">
        <f>IF(OR($P$6="",$P$7=""),"",IF($B30="","",IF(ISNA(VLOOKUP($B30,'LT03'!$B$11:$Q$80,16,FALSE)),"",VLOOKUP($B30,'LT03'!$B$11:$Q$80,16,FALSE))))</f>
        <v/>
      </c>
      <c r="T30" s="85">
        <f>IF(OR($T$6="",$T$7=""),"",IF($B30="","",IF(ISNA(VLOOKUP($B30,'LT04'!$B$11:$M$80,12,FALSE)),"",IF(VLOOKUP($B30,'LT04'!$B$11:$M$80,12,FALSE)="","",VLOOKUP($B30,'LT04'!$B$11:$M$80,12,FALSE)))))</f>
        <v>5.5</v>
      </c>
      <c r="U30" s="82">
        <f>IF(OR($T$6="",$T$7=""),"",IF($B30="","",IF(ISNA(VLOOKUP($B30,'LT04'!$B$11:$N$80,13,FALSE)),"",VLOOKUP($B30,'LT04'!$B$11:$N$80,13,FALSE))))</f>
        <v>5.9</v>
      </c>
      <c r="V30" s="83"/>
      <c r="W30" s="84" t="str">
        <f>IF(OR($T$6="",$T$7=""),"",IF($B30="","",IF(ISNA(VLOOKUP($B30,'LT04'!$B$11:$Q$80,16,FALSE)),"",VLOOKUP($B30,'LT04'!$B$11:$Q$80,16,FALSE))))</f>
        <v/>
      </c>
      <c r="X30" s="85">
        <f>IF(OR($X$6="",$X$7=""),"",IF($B30="","",IF(ISNA(VLOOKUP($B30,'LT05'!$B$11:$M$80,12,FALSE)),"",IF(VLOOKUP($B30,'LT05'!$B$11:$M$80,12,FALSE)="","",VLOOKUP($B30,'LT05'!$B$11:$M$80,12,FALSE)))))</f>
        <v>2.8</v>
      </c>
      <c r="Y30" s="82">
        <f>IF(OR($X$6="",$X$7=""),"",IF($B30="","",IF(ISNA(VLOOKUP($B30,'LT05'!$B$11:$N$80,13,FALSE)),"",VLOOKUP($B30,'LT05'!$B$11:$N$80,13,FALSE))))</f>
        <v>3.4</v>
      </c>
      <c r="Z30" s="83"/>
      <c r="AA30" s="84" t="str">
        <f>IF(OR($X$6="",$X$7=""),"",IF($B30="","",IF(ISNA(VLOOKUP($B30,'LT05'!$B$11:$Q$80,16,FALSE)),"",VLOOKUP($B30,'LT05'!$B$11:$Q$80,16,FALSE))))</f>
        <v/>
      </c>
      <c r="AB30" s="85" t="str">
        <f>IF(OR($AB$6="",$AB$7=""),"",IF($B30="","",IF(ISNA(VLOOKUP($B30,'LT06'!$B$11:$M$80,12,FALSE)),"",IF(VLOOKUP($B30,'LT06'!$B$11:$M$80,12,FALSE)="","",VLOOKUP($B30,'LT06'!$B$11:$M$80,12,FALSE)))))</f>
        <v/>
      </c>
      <c r="AC30" s="82" t="str">
        <f>IF(OR($AB$6="",$AB$7=""),"",IF($B30="","",IF(ISNA(VLOOKUP($B30,'LT06'!$B$11:$N$80,13,FALSE)),"",VLOOKUP($B30,'LT06'!$B$11:$N$80,13,FALSE))))</f>
        <v/>
      </c>
      <c r="AD30" s="83"/>
      <c r="AE30" s="84" t="str">
        <f>IF(OR($AB$6="",$AB$7=""),"",IF($B30="","",IF(ISNA(VLOOKUP($B30,'LT06'!$B$11:$Q$80,16,FALSE)),"",VLOOKUP($B30,'LT06'!$B$11:$Q$80,16,FALSE))))</f>
        <v/>
      </c>
      <c r="AF30" s="85" t="str">
        <f>IF(OR($AF$6="",$AF$7=""),"",IF($B30="","",IF(ISNA(VLOOKUP($B30,'LT07'!$B$11:$M$80,12,FALSE)),"",IF(VLOOKUP($B30,'LT07'!$B$11:$M$80,12,FALSE)="","",VLOOKUP($B30,'LT07'!$B$11:$M$80,12,FALSE)))))</f>
        <v/>
      </c>
      <c r="AG30" s="82" t="str">
        <f>IF(OR($AF$6="",$AF$7=""),"",IF($B30="","",IF(ISNA(VLOOKUP($B30,'LT07'!$B$11:$N$80,13,FALSE)),"",VLOOKUP($B30,'LT07'!$B$11:$N$80,13,FALSE))))</f>
        <v/>
      </c>
      <c r="AH30" s="83"/>
      <c r="AI30" s="84" t="str">
        <f>IF(OR($AF$6="",$AF$7=""),"",IF($B30="","",IF(ISNA(VLOOKUP($B30,'LT07'!$B$11:$Q$80,16,FALSE)),"",VLOOKUP($B30,'LT07'!$B$11:$Q$80,16,FALSE))))</f>
        <v/>
      </c>
      <c r="AJ30" s="304"/>
      <c r="AK30" s="82" t="str">
        <f>IF(OR($AJ$6="",$AJ$7=""),"",IF($B30="","",IF(ISNA(VLOOKUP($B30,'DO AN'!$B$11:$L$80,11,FALSE)),"",IF(VLOOKUP($B30,'DO AN'!$B$11:$L$80,11,FALSE)="","",VLOOKUP($B30,'DO AN'!$B$11:$L$80,11,FALSE)))))</f>
        <v/>
      </c>
      <c r="AL30" s="83"/>
      <c r="AM30" s="451"/>
      <c r="AN30" s="83"/>
      <c r="AO30" s="82" t="str">
        <f>IF(OR($AN$6="",$AN$7=""),"",IF($B30="","",IF(ISNA(VLOOKUP($B30,'DO AN 2'!$B$11:$L$80,11,FALSE)),"",IF(VLOOKUP($B30,'DO AN 2'!$B$11:$L$80,11,FALSE)="","",VLOOKUP($B30,'DO AN 2'!$B$11:$L$80,11,FALSE)))))</f>
        <v/>
      </c>
      <c r="AP30" s="83"/>
      <c r="AQ30" s="83"/>
      <c r="AR30" s="454"/>
      <c r="AS30" s="82">
        <f>IF(OR($AR$6="",$AR$7=""),"",IF($B30="","",IF(ISNA(VLOOKUP($B30,'TH01'!$B$11:$O$80,14,FALSE)),"",VLOOKUP($B30,'TH01'!$B$11:$O$80,14,FALSE))))</f>
        <v>7.8</v>
      </c>
      <c r="AT30" s="83"/>
      <c r="AU30" s="303"/>
      <c r="AV30" s="304"/>
      <c r="AW30" s="82">
        <f>IF(OR($AV$6="",$AV$7=""),"",IF($B30="","",IF(ISNA(VLOOKUP($B30,'TH02'!$B$11:$O$80,14,FALSE)),"",VLOOKUP($B30,'TH02'!$B$11:$O$80,14,FALSE))))</f>
        <v>6</v>
      </c>
      <c r="AX30" s="83"/>
      <c r="AY30" s="303"/>
      <c r="AZ30" s="304"/>
      <c r="BA30" s="82">
        <f>IF(OR($AZ$6="",$AZ$7=""),"",IF($B30="","",IF(ISNA(VLOOKUP($B30,'TH03'!$B$11:$O$80,14,FALSE)),"",VLOOKUP($B30,'TH03'!$B$11:$O$80,14,FALSE))))</f>
        <v>6.5</v>
      </c>
      <c r="BB30" s="83"/>
      <c r="BC30" s="303"/>
      <c r="BD30" s="86">
        <f t="shared" si="11"/>
        <v>5.84</v>
      </c>
      <c r="BE30" s="86" t="str">
        <f t="shared" si="12"/>
        <v/>
      </c>
      <c r="BF30" s="87">
        <v>53</v>
      </c>
      <c r="BG30" s="88" t="str">
        <f t="shared" si="0"/>
        <v>T.Bình</v>
      </c>
      <c r="BH30" s="88" t="str">
        <f t="shared" si="1"/>
        <v/>
      </c>
      <c r="BI30" s="87"/>
      <c r="BJ30" s="86" t="str">
        <f t="shared" si="2"/>
        <v/>
      </c>
      <c r="BK30" s="265">
        <f t="shared" si="3"/>
        <v>15</v>
      </c>
      <c r="BL30" s="88">
        <f t="shared" si="4"/>
        <v>3</v>
      </c>
      <c r="BM30" s="88">
        <f t="shared" si="5"/>
        <v>15</v>
      </c>
      <c r="BN30" s="88">
        <f t="shared" si="6"/>
        <v>3</v>
      </c>
      <c r="BO30" s="86">
        <f t="shared" si="13"/>
        <v>6.33</v>
      </c>
      <c r="BP30" s="86" t="str">
        <f t="shared" si="7"/>
        <v>BT</v>
      </c>
      <c r="BQ30" s="86">
        <f t="shared" si="14"/>
        <v>6.33</v>
      </c>
      <c r="BR30" s="86" t="str">
        <f t="shared" si="8"/>
        <v>BT</v>
      </c>
      <c r="BS30" s="87"/>
      <c r="BT30" s="276">
        <f t="shared" si="15"/>
        <v>2</v>
      </c>
      <c r="BU30" s="238">
        <f t="shared" si="16"/>
        <v>6</v>
      </c>
      <c r="BV30" s="238">
        <f t="shared" si="17"/>
        <v>6.5</v>
      </c>
      <c r="BW30" s="238">
        <f t="shared" si="18"/>
        <v>4</v>
      </c>
      <c r="BX30" s="238">
        <f t="shared" si="19"/>
        <v>5.5</v>
      </c>
      <c r="BY30" s="238">
        <f t="shared" si="20"/>
        <v>2.8</v>
      </c>
      <c r="BZ30" s="238" t="str">
        <f t="shared" si="21"/>
        <v/>
      </c>
      <c r="CA30" s="238" t="str">
        <f t="shared" si="22"/>
        <v/>
      </c>
      <c r="CB30" s="238" t="str">
        <f t="shared" si="23"/>
        <v/>
      </c>
      <c r="CC30" s="238" t="str">
        <f t="shared" si="24"/>
        <v/>
      </c>
      <c r="CD30" s="238">
        <f t="shared" si="25"/>
        <v>7.8</v>
      </c>
      <c r="CE30" s="238">
        <f t="shared" si="26"/>
        <v>6</v>
      </c>
      <c r="CF30" s="238">
        <f t="shared" si="27"/>
        <v>6.5</v>
      </c>
      <c r="CG30" s="239">
        <f t="shared" si="28"/>
        <v>1</v>
      </c>
      <c r="CH30" s="238">
        <f t="shared" si="29"/>
        <v>6.5</v>
      </c>
      <c r="CI30" s="238">
        <f t="shared" si="30"/>
        <v>6.8</v>
      </c>
      <c r="CJ30" s="238">
        <f t="shared" si="31"/>
        <v>4.7</v>
      </c>
      <c r="CK30" s="238">
        <f t="shared" si="32"/>
        <v>5.9</v>
      </c>
      <c r="CL30" s="238">
        <f t="shared" si="33"/>
        <v>3.4</v>
      </c>
      <c r="CM30" s="238" t="str">
        <f t="shared" si="34"/>
        <v/>
      </c>
      <c r="CN30" s="238" t="str">
        <f t="shared" si="35"/>
        <v/>
      </c>
      <c r="CO30" s="238" t="str">
        <f t="shared" si="36"/>
        <v/>
      </c>
      <c r="CP30" s="238" t="str">
        <f t="shared" si="37"/>
        <v/>
      </c>
      <c r="CQ30" s="238">
        <f t="shared" si="38"/>
        <v>7.8</v>
      </c>
      <c r="CR30" s="238">
        <f t="shared" si="39"/>
        <v>6</v>
      </c>
      <c r="CS30" s="238">
        <f t="shared" si="40"/>
        <v>6.5</v>
      </c>
      <c r="CT30" s="240">
        <f t="shared" si="41"/>
        <v>5.84</v>
      </c>
      <c r="CU30" s="241">
        <f t="shared" si="42"/>
        <v>6.5</v>
      </c>
      <c r="CV30" s="241">
        <f t="shared" si="43"/>
        <v>6.8</v>
      </c>
      <c r="CW30" s="241">
        <f t="shared" si="44"/>
        <v>4.7</v>
      </c>
      <c r="CX30" s="241">
        <f t="shared" si="45"/>
        <v>5.9</v>
      </c>
      <c r="CY30" s="241" t="str">
        <f t="shared" si="46"/>
        <v/>
      </c>
      <c r="CZ30" s="241" t="str">
        <f t="shared" si="47"/>
        <v/>
      </c>
      <c r="DA30" s="241" t="str">
        <f t="shared" si="48"/>
        <v/>
      </c>
      <c r="DB30" s="241" t="str">
        <f t="shared" si="49"/>
        <v/>
      </c>
      <c r="DC30" s="241" t="str">
        <f t="shared" si="50"/>
        <v/>
      </c>
      <c r="DD30" s="241">
        <f t="shared" si="51"/>
        <v>7.8</v>
      </c>
      <c r="DE30" s="241">
        <f t="shared" si="52"/>
        <v>6</v>
      </c>
      <c r="DF30" s="241">
        <f t="shared" si="53"/>
        <v>6.5</v>
      </c>
      <c r="DG30" s="242">
        <f t="shared" si="9"/>
        <v>6.33</v>
      </c>
      <c r="DH30" s="82" t="str">
        <f t="shared" si="54"/>
        <v/>
      </c>
      <c r="DI30" s="82" t="str">
        <f t="shared" si="55"/>
        <v/>
      </c>
      <c r="DJ30" s="82" t="str">
        <f t="shared" si="56"/>
        <v/>
      </c>
      <c r="DK30" s="82" t="str">
        <f t="shared" si="57"/>
        <v/>
      </c>
      <c r="DL30" s="82" t="str">
        <f t="shared" si="58"/>
        <v/>
      </c>
      <c r="DM30" s="82" t="str">
        <f t="shared" si="59"/>
        <v/>
      </c>
      <c r="DN30" s="82" t="str">
        <f t="shared" si="60"/>
        <v/>
      </c>
      <c r="DO30" s="82" t="str">
        <f t="shared" si="61"/>
        <v/>
      </c>
      <c r="DP30" s="82" t="str">
        <f t="shared" si="62"/>
        <v/>
      </c>
      <c r="DQ30" s="82" t="str">
        <f t="shared" si="63"/>
        <v/>
      </c>
      <c r="DR30" s="82" t="str">
        <f t="shared" si="64"/>
        <v/>
      </c>
      <c r="DS30" s="253" t="str">
        <f t="shared" si="65"/>
        <v/>
      </c>
      <c r="DT30" s="250">
        <f t="shared" si="66"/>
        <v>6.5</v>
      </c>
      <c r="DU30" s="238">
        <f t="shared" si="67"/>
        <v>6.8</v>
      </c>
      <c r="DV30" s="238">
        <f t="shared" si="68"/>
        <v>4.7</v>
      </c>
      <c r="DW30" s="238">
        <f t="shared" si="69"/>
        <v>5.9</v>
      </c>
      <c r="DX30" s="238">
        <f t="shared" si="70"/>
        <v>3.4</v>
      </c>
      <c r="DY30" s="238" t="str">
        <f t="shared" si="71"/>
        <v/>
      </c>
      <c r="DZ30" s="238" t="str">
        <f t="shared" si="72"/>
        <v/>
      </c>
      <c r="EA30" s="238" t="str">
        <f t="shared" si="73"/>
        <v/>
      </c>
      <c r="EB30" s="238" t="str">
        <f t="shared" si="74"/>
        <v/>
      </c>
      <c r="EC30" s="238">
        <f t="shared" si="75"/>
        <v>7.8</v>
      </c>
      <c r="ED30" s="238">
        <f t="shared" si="76"/>
        <v>6</v>
      </c>
      <c r="EE30" s="238">
        <f t="shared" si="77"/>
        <v>6.5</v>
      </c>
      <c r="EF30" s="255" t="str">
        <f t="shared" si="78"/>
        <v/>
      </c>
      <c r="EG30" s="257">
        <f t="shared" si="79"/>
        <v>6.5</v>
      </c>
      <c r="EH30" s="257">
        <f t="shared" si="80"/>
        <v>6.8</v>
      </c>
      <c r="EI30" s="257">
        <f t="shared" si="81"/>
        <v>4.7</v>
      </c>
      <c r="EJ30" s="257">
        <f t="shared" si="82"/>
        <v>5.9</v>
      </c>
      <c r="EK30" s="257" t="str">
        <f t="shared" si="83"/>
        <v/>
      </c>
      <c r="EL30" s="257" t="str">
        <f t="shared" si="84"/>
        <v/>
      </c>
      <c r="EM30" s="257" t="str">
        <f t="shared" si="85"/>
        <v/>
      </c>
      <c r="EN30" s="257" t="str">
        <f t="shared" si="86"/>
        <v/>
      </c>
      <c r="EO30" s="257" t="str">
        <f t="shared" si="87"/>
        <v/>
      </c>
      <c r="EP30" s="257">
        <f t="shared" si="88"/>
        <v>7.8</v>
      </c>
      <c r="EQ30" s="257">
        <f t="shared" si="89"/>
        <v>6</v>
      </c>
      <c r="ER30" s="257">
        <f t="shared" si="90"/>
        <v>6.5</v>
      </c>
      <c r="ES30" s="262">
        <f t="shared" si="10"/>
        <v>6.33</v>
      </c>
      <c r="ET30" s="307">
        <f t="shared" si="91"/>
        <v>5.84</v>
      </c>
    </row>
    <row r="31" spans="1:150" s="89" customFormat="1" ht="30" customHeight="1">
      <c r="A31" s="272">
        <f>IF($B31="","",SUBTOTAL(3,$B$11:B31))</f>
        <v>21</v>
      </c>
      <c r="B31" s="457" t="s">
        <v>1566</v>
      </c>
      <c r="C31" s="76" t="str">
        <f>IF($B31="","",VLOOKUP($B31,'DS LOP HKI'!$B$2:$D$951,2,0))</f>
        <v>Lê Hoàng</v>
      </c>
      <c r="D31" s="77" t="str">
        <f>IF($B31="","",VLOOKUP($B31,'DS LOP HKI'!$B$2:$D$951,3,0))</f>
        <v>Giang</v>
      </c>
      <c r="E31" s="78"/>
      <c r="F31" s="79"/>
      <c r="G31" s="80">
        <v>2</v>
      </c>
      <c r="H31" s="81">
        <f>IF(OR($H$6="",$H$7=""),"",IF($B31="","",IF(ISNA(VLOOKUP($B31,'LT01'!$B$11:$M$80,12,FALSE)),"",IF(VLOOKUP($B31,'LT01'!$B$11:$M$80,12,FALSE)="","",VLOOKUP($B31,'LT01'!$B$11:$M$80,12,FALSE)))))</f>
        <v>7.5</v>
      </c>
      <c r="I31" s="82">
        <f>IF(OR($H$6="",$H$7=""),"",IF($B31="","",IF(ISNA(VLOOKUP($B31,'LT01'!$B$11:$N$80,13,FALSE)),"",VLOOKUP($B31,'LT01'!$B$11:$N$80,13,FALSE))))</f>
        <v>6.6</v>
      </c>
      <c r="J31" s="83"/>
      <c r="K31" s="84" t="str">
        <f>IF(OR($H$6="",$H$7=""),"",IF($B31="","",IF(ISNA(VLOOKUP($B31,'LT01'!$B$11:$Q$80,16,FALSE)),"",IF(VLOOKUP($B31,'LT01'!$B$11:$Q$80,16,FALSE)="","",VLOOKUP($B31,'LT01'!$B$11:$Q$80,16,FALSE)))))</f>
        <v/>
      </c>
      <c r="L31" s="85">
        <f>IF(OR($L$6="",$L$7=""),"",IF($B31="","",IF(ISNA(VLOOKUP($B31,'LT02'!$B$11:$M$80,12,FALSE)),"",IF(VLOOKUP($B31,'LT02'!$B$11:$M$80,12,FALSE)="","",VLOOKUP($B31,'LT02'!$B$11:$M$80,12,FALSE)))))</f>
        <v>5</v>
      </c>
      <c r="M31" s="82">
        <f>IF(OR($L$6="",$L$7=""),"",IF($B31="","",IF(ISNA(VLOOKUP($B31,'LT02'!$B$11:$N$80,13,FALSE)),"",VLOOKUP($B31,'LT02'!$B$11:$N$80,13,FALSE))))</f>
        <v>6</v>
      </c>
      <c r="N31" s="83"/>
      <c r="O31" s="84" t="str">
        <f>IF(OR($L$6="",$L$7=""),"",IF($B31="","",IF(ISNA(VLOOKUP($B31,'LT02'!$B$11:$Q$80,16,FALSE)),"",VLOOKUP($B31,'LT02'!$B$11:$Q$80,16,FALSE))))</f>
        <v/>
      </c>
      <c r="P31" s="85">
        <f>IF(OR($P$6="",$P$7=""),"",IF($B31="","",IF(ISNA(VLOOKUP($B31,'LT03'!$B$11:$M$80,12,FALSE)),"",IF(VLOOKUP($B31,'LT03'!$B$11:$M$80,12,FALSE)="","",VLOOKUP($B31,'LT03'!$B$11:$M$80,12,FALSE)))))</f>
        <v>3.8</v>
      </c>
      <c r="Q31" s="82">
        <f>IF(OR($P$6="",$P$7=""),"",IF($B31="","",IF(ISNA(VLOOKUP($B31,'LT03'!$B$11:$N$80,13,FALSE)),"",VLOOKUP($B31,'LT03'!$B$11:$N$80,13,FALSE))))</f>
        <v>4.8</v>
      </c>
      <c r="R31" s="83"/>
      <c r="S31" s="84" t="str">
        <f>IF(OR($P$6="",$P$7=""),"",IF($B31="","",IF(ISNA(VLOOKUP($B31,'LT03'!$B$11:$Q$80,16,FALSE)),"",VLOOKUP($B31,'LT03'!$B$11:$Q$80,16,FALSE))))</f>
        <v/>
      </c>
      <c r="T31" s="85">
        <f>IF(OR($T$6="",$T$7=""),"",IF($B31="","",IF(ISNA(VLOOKUP($B31,'LT04'!$B$11:$M$80,12,FALSE)),"",IF(VLOOKUP($B31,'LT04'!$B$11:$M$80,12,FALSE)="","",VLOOKUP($B31,'LT04'!$B$11:$M$80,12,FALSE)))))</f>
        <v>4.8</v>
      </c>
      <c r="U31" s="82">
        <f>IF(OR($T$6="",$T$7=""),"",IF($B31="","",IF(ISNA(VLOOKUP($B31,'LT04'!$B$11:$N$80,13,FALSE)),"",VLOOKUP($B31,'LT04'!$B$11:$N$80,13,FALSE))))</f>
        <v>5.5</v>
      </c>
      <c r="V31" s="83"/>
      <c r="W31" s="84" t="str">
        <f>IF(OR($T$6="",$T$7=""),"",IF($B31="","",IF(ISNA(VLOOKUP($B31,'LT04'!$B$11:$Q$80,16,FALSE)),"",VLOOKUP($B31,'LT04'!$B$11:$Q$80,16,FALSE))))</f>
        <v/>
      </c>
      <c r="X31" s="85">
        <f>IF(OR($X$6="",$X$7=""),"",IF($B31="","",IF(ISNA(VLOOKUP($B31,'LT05'!$B$11:$M$80,12,FALSE)),"",IF(VLOOKUP($B31,'LT05'!$B$11:$M$80,12,FALSE)="","",VLOOKUP($B31,'LT05'!$B$11:$M$80,12,FALSE)))))</f>
        <v>2.2999999999999998</v>
      </c>
      <c r="Y31" s="82">
        <f>IF(OR($X$6="",$X$7=""),"",IF($B31="","",IF(ISNA(VLOOKUP($B31,'LT05'!$B$11:$N$80,13,FALSE)),"",VLOOKUP($B31,'LT05'!$B$11:$N$80,13,FALSE))))</f>
        <v>3.2</v>
      </c>
      <c r="Z31" s="83"/>
      <c r="AA31" s="84" t="str">
        <f>IF(OR($X$6="",$X$7=""),"",IF($B31="","",IF(ISNA(VLOOKUP($B31,'LT05'!$B$11:$Q$80,16,FALSE)),"",VLOOKUP($B31,'LT05'!$B$11:$Q$80,16,FALSE))))</f>
        <v/>
      </c>
      <c r="AB31" s="85" t="str">
        <f>IF(OR($AB$6="",$AB$7=""),"",IF($B31="","",IF(ISNA(VLOOKUP($B31,'LT06'!$B$11:$M$80,12,FALSE)),"",IF(VLOOKUP($B31,'LT06'!$B$11:$M$80,12,FALSE)="","",VLOOKUP($B31,'LT06'!$B$11:$M$80,12,FALSE)))))</f>
        <v/>
      </c>
      <c r="AC31" s="82" t="str">
        <f>IF(OR($AB$6="",$AB$7=""),"",IF($B31="","",IF(ISNA(VLOOKUP($B31,'LT06'!$B$11:$N$80,13,FALSE)),"",VLOOKUP($B31,'LT06'!$B$11:$N$80,13,FALSE))))</f>
        <v/>
      </c>
      <c r="AD31" s="83"/>
      <c r="AE31" s="84" t="str">
        <f>IF(OR($AB$6="",$AB$7=""),"",IF($B31="","",IF(ISNA(VLOOKUP($B31,'LT06'!$B$11:$Q$80,16,FALSE)),"",VLOOKUP($B31,'LT06'!$B$11:$Q$80,16,FALSE))))</f>
        <v/>
      </c>
      <c r="AF31" s="85" t="str">
        <f>IF(OR($AF$6="",$AF$7=""),"",IF($B31="","",IF(ISNA(VLOOKUP($B31,'LT07'!$B$11:$M$80,12,FALSE)),"",IF(VLOOKUP($B31,'LT07'!$B$11:$M$80,12,FALSE)="","",VLOOKUP($B31,'LT07'!$B$11:$M$80,12,FALSE)))))</f>
        <v/>
      </c>
      <c r="AG31" s="82" t="str">
        <f>IF(OR($AF$6="",$AF$7=""),"",IF($B31="","",IF(ISNA(VLOOKUP($B31,'LT07'!$B$11:$N$80,13,FALSE)),"",VLOOKUP($B31,'LT07'!$B$11:$N$80,13,FALSE))))</f>
        <v/>
      </c>
      <c r="AH31" s="83"/>
      <c r="AI31" s="84" t="str">
        <f>IF(OR($AF$6="",$AF$7=""),"",IF($B31="","",IF(ISNA(VLOOKUP($B31,'LT07'!$B$11:$Q$80,16,FALSE)),"",VLOOKUP($B31,'LT07'!$B$11:$Q$80,16,FALSE))))</f>
        <v/>
      </c>
      <c r="AJ31" s="304"/>
      <c r="AK31" s="82" t="str">
        <f>IF(OR($AJ$6="",$AJ$7=""),"",IF($B31="","",IF(ISNA(VLOOKUP($B31,'DO AN'!$B$11:$L$80,11,FALSE)),"",IF(VLOOKUP($B31,'DO AN'!$B$11:$L$80,11,FALSE)="","",VLOOKUP($B31,'DO AN'!$B$11:$L$80,11,FALSE)))))</f>
        <v/>
      </c>
      <c r="AL31" s="83"/>
      <c r="AM31" s="451"/>
      <c r="AN31" s="83"/>
      <c r="AO31" s="82" t="str">
        <f>IF(OR($AN$6="",$AN$7=""),"",IF($B31="","",IF(ISNA(VLOOKUP($B31,'DO AN 2'!$B$11:$L$80,11,FALSE)),"",IF(VLOOKUP($B31,'DO AN 2'!$B$11:$L$80,11,FALSE)="","",VLOOKUP($B31,'DO AN 2'!$B$11:$L$80,11,FALSE)))))</f>
        <v/>
      </c>
      <c r="AP31" s="83"/>
      <c r="AQ31" s="83"/>
      <c r="AR31" s="454"/>
      <c r="AS31" s="82">
        <f>IF(OR($AR$6="",$AR$7=""),"",IF($B31="","",IF(ISNA(VLOOKUP($B31,'TH01'!$B$11:$O$80,14,FALSE)),"",VLOOKUP($B31,'TH01'!$B$11:$O$80,14,FALSE))))</f>
        <v>5.8</v>
      </c>
      <c r="AT31" s="83"/>
      <c r="AU31" s="303"/>
      <c r="AV31" s="304"/>
      <c r="AW31" s="82">
        <f>IF(OR($AV$6="",$AV$7=""),"",IF($B31="","",IF(ISNA(VLOOKUP($B31,'TH02'!$B$11:$O$80,14,FALSE)),"",VLOOKUP($B31,'TH02'!$B$11:$O$80,14,FALSE))))</f>
        <v>5.3</v>
      </c>
      <c r="AX31" s="83"/>
      <c r="AY31" s="303"/>
      <c r="AZ31" s="304"/>
      <c r="BA31" s="82">
        <f>IF(OR($AZ$6="",$AZ$7=""),"",IF($B31="","",IF(ISNA(VLOOKUP($B31,'TH03'!$B$11:$O$80,14,FALSE)),"",VLOOKUP($B31,'TH03'!$B$11:$O$80,14,FALSE))))</f>
        <v>6.8</v>
      </c>
      <c r="BB31" s="83"/>
      <c r="BC31" s="303"/>
      <c r="BD31" s="86">
        <f t="shared" si="11"/>
        <v>5.43</v>
      </c>
      <c r="BE31" s="86" t="str">
        <f t="shared" si="12"/>
        <v/>
      </c>
      <c r="BF31" s="87">
        <v>57</v>
      </c>
      <c r="BG31" s="88" t="str">
        <f t="shared" si="0"/>
        <v>TB Yếu</v>
      </c>
      <c r="BH31" s="88" t="str">
        <f t="shared" si="1"/>
        <v/>
      </c>
      <c r="BI31" s="87"/>
      <c r="BJ31" s="86" t="str">
        <f t="shared" si="2"/>
        <v/>
      </c>
      <c r="BK31" s="265">
        <f t="shared" si="3"/>
        <v>15</v>
      </c>
      <c r="BL31" s="88">
        <f t="shared" si="4"/>
        <v>3</v>
      </c>
      <c r="BM31" s="88">
        <f t="shared" si="5"/>
        <v>15</v>
      </c>
      <c r="BN31" s="88">
        <f t="shared" si="6"/>
        <v>3</v>
      </c>
      <c r="BO31" s="86">
        <f t="shared" si="13"/>
        <v>5.88</v>
      </c>
      <c r="BP31" s="86" t="str">
        <f t="shared" si="7"/>
        <v>BT</v>
      </c>
      <c r="BQ31" s="86">
        <f t="shared" si="14"/>
        <v>5.88</v>
      </c>
      <c r="BR31" s="86" t="str">
        <f t="shared" si="8"/>
        <v>BT</v>
      </c>
      <c r="BS31" s="87"/>
      <c r="BT31" s="276">
        <f t="shared" si="15"/>
        <v>3</v>
      </c>
      <c r="BU31" s="238">
        <f t="shared" si="16"/>
        <v>7.5</v>
      </c>
      <c r="BV31" s="238">
        <f t="shared" si="17"/>
        <v>5</v>
      </c>
      <c r="BW31" s="238">
        <f t="shared" si="18"/>
        <v>3.8</v>
      </c>
      <c r="BX31" s="238">
        <f t="shared" si="19"/>
        <v>4.8</v>
      </c>
      <c r="BY31" s="238">
        <f t="shared" si="20"/>
        <v>2.2999999999999998</v>
      </c>
      <c r="BZ31" s="238" t="str">
        <f t="shared" si="21"/>
        <v/>
      </c>
      <c r="CA31" s="238" t="str">
        <f t="shared" si="22"/>
        <v/>
      </c>
      <c r="CB31" s="238" t="str">
        <f t="shared" si="23"/>
        <v/>
      </c>
      <c r="CC31" s="238" t="str">
        <f t="shared" si="24"/>
        <v/>
      </c>
      <c r="CD31" s="238">
        <f t="shared" si="25"/>
        <v>5.8</v>
      </c>
      <c r="CE31" s="238">
        <f t="shared" si="26"/>
        <v>5.3</v>
      </c>
      <c r="CF31" s="238">
        <f t="shared" si="27"/>
        <v>6.8</v>
      </c>
      <c r="CG31" s="239">
        <f t="shared" si="28"/>
        <v>1</v>
      </c>
      <c r="CH31" s="238">
        <f t="shared" si="29"/>
        <v>6.6</v>
      </c>
      <c r="CI31" s="238">
        <f t="shared" si="30"/>
        <v>6</v>
      </c>
      <c r="CJ31" s="238">
        <f t="shared" si="31"/>
        <v>4.8</v>
      </c>
      <c r="CK31" s="238">
        <f t="shared" si="32"/>
        <v>5.5</v>
      </c>
      <c r="CL31" s="238">
        <f t="shared" si="33"/>
        <v>3.2</v>
      </c>
      <c r="CM31" s="238" t="str">
        <f t="shared" si="34"/>
        <v/>
      </c>
      <c r="CN31" s="238" t="str">
        <f t="shared" si="35"/>
        <v/>
      </c>
      <c r="CO31" s="238" t="str">
        <f t="shared" si="36"/>
        <v/>
      </c>
      <c r="CP31" s="238" t="str">
        <f t="shared" si="37"/>
        <v/>
      </c>
      <c r="CQ31" s="238">
        <f t="shared" si="38"/>
        <v>5.8</v>
      </c>
      <c r="CR31" s="238">
        <f t="shared" si="39"/>
        <v>5.3</v>
      </c>
      <c r="CS31" s="238">
        <f t="shared" si="40"/>
        <v>6.8</v>
      </c>
      <c r="CT31" s="240">
        <f t="shared" si="41"/>
        <v>5.43</v>
      </c>
      <c r="CU31" s="241">
        <f t="shared" si="42"/>
        <v>6.6</v>
      </c>
      <c r="CV31" s="241">
        <f t="shared" si="43"/>
        <v>6</v>
      </c>
      <c r="CW31" s="241">
        <f t="shared" si="44"/>
        <v>4.8</v>
      </c>
      <c r="CX31" s="241">
        <f t="shared" si="45"/>
        <v>5.5</v>
      </c>
      <c r="CY31" s="241" t="str">
        <f t="shared" si="46"/>
        <v/>
      </c>
      <c r="CZ31" s="241" t="str">
        <f t="shared" si="47"/>
        <v/>
      </c>
      <c r="DA31" s="241" t="str">
        <f t="shared" si="48"/>
        <v/>
      </c>
      <c r="DB31" s="241" t="str">
        <f t="shared" si="49"/>
        <v/>
      </c>
      <c r="DC31" s="241" t="str">
        <f t="shared" si="50"/>
        <v/>
      </c>
      <c r="DD31" s="241">
        <f t="shared" si="51"/>
        <v>5.8</v>
      </c>
      <c r="DE31" s="241">
        <f t="shared" si="52"/>
        <v>5.3</v>
      </c>
      <c r="DF31" s="241">
        <f t="shared" si="53"/>
        <v>6.8</v>
      </c>
      <c r="DG31" s="242">
        <f t="shared" si="9"/>
        <v>5.88</v>
      </c>
      <c r="DH31" s="82" t="str">
        <f t="shared" si="54"/>
        <v/>
      </c>
      <c r="DI31" s="82" t="str">
        <f t="shared" si="55"/>
        <v/>
      </c>
      <c r="DJ31" s="82" t="str">
        <f t="shared" si="56"/>
        <v/>
      </c>
      <c r="DK31" s="82" t="str">
        <f t="shared" si="57"/>
        <v/>
      </c>
      <c r="DL31" s="82" t="str">
        <f t="shared" si="58"/>
        <v/>
      </c>
      <c r="DM31" s="82" t="str">
        <f t="shared" si="59"/>
        <v/>
      </c>
      <c r="DN31" s="82" t="str">
        <f t="shared" si="60"/>
        <v/>
      </c>
      <c r="DO31" s="82" t="str">
        <f t="shared" si="61"/>
        <v/>
      </c>
      <c r="DP31" s="82" t="str">
        <f t="shared" si="62"/>
        <v/>
      </c>
      <c r="DQ31" s="82" t="str">
        <f t="shared" si="63"/>
        <v/>
      </c>
      <c r="DR31" s="82" t="str">
        <f t="shared" si="64"/>
        <v/>
      </c>
      <c r="DS31" s="253" t="str">
        <f t="shared" si="65"/>
        <v/>
      </c>
      <c r="DT31" s="250">
        <f t="shared" si="66"/>
        <v>6.6</v>
      </c>
      <c r="DU31" s="238">
        <f t="shared" si="67"/>
        <v>6</v>
      </c>
      <c r="DV31" s="238">
        <f t="shared" si="68"/>
        <v>4.8</v>
      </c>
      <c r="DW31" s="238">
        <f t="shared" si="69"/>
        <v>5.5</v>
      </c>
      <c r="DX31" s="238">
        <f t="shared" si="70"/>
        <v>3.2</v>
      </c>
      <c r="DY31" s="238" t="str">
        <f t="shared" si="71"/>
        <v/>
      </c>
      <c r="DZ31" s="238" t="str">
        <f t="shared" si="72"/>
        <v/>
      </c>
      <c r="EA31" s="238" t="str">
        <f t="shared" si="73"/>
        <v/>
      </c>
      <c r="EB31" s="238" t="str">
        <f t="shared" si="74"/>
        <v/>
      </c>
      <c r="EC31" s="238">
        <f t="shared" si="75"/>
        <v>5.8</v>
      </c>
      <c r="ED31" s="238">
        <f t="shared" si="76"/>
        <v>5.3</v>
      </c>
      <c r="EE31" s="238">
        <f t="shared" si="77"/>
        <v>6.8</v>
      </c>
      <c r="EF31" s="255" t="str">
        <f t="shared" si="78"/>
        <v/>
      </c>
      <c r="EG31" s="257">
        <f t="shared" si="79"/>
        <v>6.6</v>
      </c>
      <c r="EH31" s="257">
        <f t="shared" si="80"/>
        <v>6</v>
      </c>
      <c r="EI31" s="257">
        <f t="shared" si="81"/>
        <v>4.8</v>
      </c>
      <c r="EJ31" s="257">
        <f t="shared" si="82"/>
        <v>5.5</v>
      </c>
      <c r="EK31" s="257" t="str">
        <f t="shared" si="83"/>
        <v/>
      </c>
      <c r="EL31" s="257" t="str">
        <f t="shared" si="84"/>
        <v/>
      </c>
      <c r="EM31" s="257" t="str">
        <f t="shared" si="85"/>
        <v/>
      </c>
      <c r="EN31" s="257" t="str">
        <f t="shared" si="86"/>
        <v/>
      </c>
      <c r="EO31" s="257" t="str">
        <f t="shared" si="87"/>
        <v/>
      </c>
      <c r="EP31" s="257">
        <f t="shared" si="88"/>
        <v>5.8</v>
      </c>
      <c r="EQ31" s="257">
        <f t="shared" si="89"/>
        <v>5.3</v>
      </c>
      <c r="ER31" s="257">
        <f t="shared" si="90"/>
        <v>6.8</v>
      </c>
      <c r="ES31" s="262">
        <f t="shared" si="10"/>
        <v>5.88</v>
      </c>
      <c r="ET31" s="307">
        <f t="shared" si="91"/>
        <v>5.43</v>
      </c>
    </row>
    <row r="32" spans="1:150" s="89" customFormat="1" ht="30" customHeight="1">
      <c r="A32" s="272">
        <f>IF($B32="","",SUBTOTAL(3,$B$11:B32))</f>
        <v>22</v>
      </c>
      <c r="B32" s="457" t="s">
        <v>1568</v>
      </c>
      <c r="C32" s="76" t="str">
        <f>IF($B32="","",VLOOKUP($B32,'DS LOP HKI'!$B$2:$D$951,2,0))</f>
        <v>Lê Công</v>
      </c>
      <c r="D32" s="77" t="str">
        <f>IF($B32="","",VLOOKUP($B32,'DS LOP HKI'!$B$2:$D$951,3,0))</f>
        <v>Hậu</v>
      </c>
      <c r="E32" s="78"/>
      <c r="F32" s="79"/>
      <c r="G32" s="80"/>
      <c r="H32" s="81">
        <f>IF(OR($H$6="",$H$7=""),"",IF($B32="","",IF(ISNA(VLOOKUP($B32,'LT01'!$B$11:$M$80,12,FALSE)),"",IF(VLOOKUP($B32,'LT01'!$B$11:$M$80,12,FALSE)="","",VLOOKUP($B32,'LT01'!$B$11:$M$80,12,FALSE)))))</f>
        <v>7.5</v>
      </c>
      <c r="I32" s="82">
        <f>IF(OR($H$6="",$H$7=""),"",IF($B32="","",IF(ISNA(VLOOKUP($B32,'LT01'!$B$11:$N$80,13,FALSE)),"",VLOOKUP($B32,'LT01'!$B$11:$N$80,13,FALSE))))</f>
        <v>7.4</v>
      </c>
      <c r="J32" s="83"/>
      <c r="K32" s="84" t="str">
        <f>IF(OR($H$6="",$H$7=""),"",IF($B32="","",IF(ISNA(VLOOKUP($B32,'LT01'!$B$11:$Q$80,16,FALSE)),"",IF(VLOOKUP($B32,'LT01'!$B$11:$Q$80,16,FALSE)="","",VLOOKUP($B32,'LT01'!$B$11:$Q$80,16,FALSE)))))</f>
        <v/>
      </c>
      <c r="L32" s="85">
        <f>IF(OR($L$6="",$L$7=""),"",IF($B32="","",IF(ISNA(VLOOKUP($B32,'LT02'!$B$11:$M$80,12,FALSE)),"",IF(VLOOKUP($B32,'LT02'!$B$11:$M$80,12,FALSE)="","",VLOOKUP($B32,'LT02'!$B$11:$M$80,12,FALSE)))))</f>
        <v>8.3000000000000007</v>
      </c>
      <c r="M32" s="82">
        <f>IF(OR($L$6="",$L$7=""),"",IF($B32="","",IF(ISNA(VLOOKUP($B32,'LT02'!$B$11:$N$80,13,FALSE)),"",VLOOKUP($B32,'LT02'!$B$11:$N$80,13,FALSE))))</f>
        <v>7.4</v>
      </c>
      <c r="N32" s="83"/>
      <c r="O32" s="84" t="str">
        <f>IF(OR($L$6="",$L$7=""),"",IF($B32="","",IF(ISNA(VLOOKUP($B32,'LT02'!$B$11:$Q$80,16,FALSE)),"",VLOOKUP($B32,'LT02'!$B$11:$Q$80,16,FALSE))))</f>
        <v/>
      </c>
      <c r="P32" s="85">
        <f>IF(OR($P$6="",$P$7=""),"",IF($B32="","",IF(ISNA(VLOOKUP($B32,'LT03'!$B$11:$M$80,12,FALSE)),"",IF(VLOOKUP($B32,'LT03'!$B$11:$M$80,12,FALSE)="","",VLOOKUP($B32,'LT03'!$B$11:$M$80,12,FALSE)))))</f>
        <v>7</v>
      </c>
      <c r="Q32" s="82">
        <f>IF(OR($P$6="",$P$7=""),"",IF($B32="","",IF(ISNA(VLOOKUP($B32,'LT03'!$B$11:$N$80,13,FALSE)),"",VLOOKUP($B32,'LT03'!$B$11:$N$80,13,FALSE))))</f>
        <v>6.5</v>
      </c>
      <c r="R32" s="83"/>
      <c r="S32" s="84" t="str">
        <f>IF(OR($P$6="",$P$7=""),"",IF($B32="","",IF(ISNA(VLOOKUP($B32,'LT03'!$B$11:$Q$80,16,FALSE)),"",VLOOKUP($B32,'LT03'!$B$11:$Q$80,16,FALSE))))</f>
        <v/>
      </c>
      <c r="T32" s="85">
        <f>IF(OR($T$6="",$T$7=""),"",IF($B32="","",IF(ISNA(VLOOKUP($B32,'LT04'!$B$11:$M$80,12,FALSE)),"",IF(VLOOKUP($B32,'LT04'!$B$11:$M$80,12,FALSE)="","",VLOOKUP($B32,'LT04'!$B$11:$M$80,12,FALSE)))))</f>
        <v>8</v>
      </c>
      <c r="U32" s="82">
        <f>IF(OR($T$6="",$T$7=""),"",IF($B32="","",IF(ISNA(VLOOKUP($B32,'LT04'!$B$11:$N$80,13,FALSE)),"",VLOOKUP($B32,'LT04'!$B$11:$N$80,13,FALSE))))</f>
        <v>7.3</v>
      </c>
      <c r="V32" s="83"/>
      <c r="W32" s="84" t="str">
        <f>IF(OR($T$6="",$T$7=""),"",IF($B32="","",IF(ISNA(VLOOKUP($B32,'LT04'!$B$11:$Q$80,16,FALSE)),"",VLOOKUP($B32,'LT04'!$B$11:$Q$80,16,FALSE))))</f>
        <v/>
      </c>
      <c r="X32" s="85">
        <f>IF(OR($X$6="",$X$7=""),"",IF($B32="","",IF(ISNA(VLOOKUP($B32,'LT05'!$B$11:$M$80,12,FALSE)),"",IF(VLOOKUP($B32,'LT05'!$B$11:$M$80,12,FALSE)="","",VLOOKUP($B32,'LT05'!$B$11:$M$80,12,FALSE)))))</f>
        <v>5</v>
      </c>
      <c r="Y32" s="82">
        <f>IF(OR($X$6="",$X$7=""),"",IF($B32="","",IF(ISNA(VLOOKUP($B32,'LT05'!$B$11:$N$80,13,FALSE)),"",VLOOKUP($B32,'LT05'!$B$11:$N$80,13,FALSE))))</f>
        <v>6.1</v>
      </c>
      <c r="Z32" s="83"/>
      <c r="AA32" s="84" t="str">
        <f>IF(OR($X$6="",$X$7=""),"",IF($B32="","",IF(ISNA(VLOOKUP($B32,'LT05'!$B$11:$Q$80,16,FALSE)),"",VLOOKUP($B32,'LT05'!$B$11:$Q$80,16,FALSE))))</f>
        <v/>
      </c>
      <c r="AB32" s="85" t="str">
        <f>IF(OR($AB$6="",$AB$7=""),"",IF($B32="","",IF(ISNA(VLOOKUP($B32,'LT06'!$B$11:$M$80,12,FALSE)),"",IF(VLOOKUP($B32,'LT06'!$B$11:$M$80,12,FALSE)="","",VLOOKUP($B32,'LT06'!$B$11:$M$80,12,FALSE)))))</f>
        <v/>
      </c>
      <c r="AC32" s="82" t="str">
        <f>IF(OR($AB$6="",$AB$7=""),"",IF($B32="","",IF(ISNA(VLOOKUP($B32,'LT06'!$B$11:$N$80,13,FALSE)),"",VLOOKUP($B32,'LT06'!$B$11:$N$80,13,FALSE))))</f>
        <v/>
      </c>
      <c r="AD32" s="83"/>
      <c r="AE32" s="84" t="str">
        <f>IF(OR($AB$6="",$AB$7=""),"",IF($B32="","",IF(ISNA(VLOOKUP($B32,'LT06'!$B$11:$Q$80,16,FALSE)),"",VLOOKUP($B32,'LT06'!$B$11:$Q$80,16,FALSE))))</f>
        <v/>
      </c>
      <c r="AF32" s="85" t="str">
        <f>IF(OR($AF$6="",$AF$7=""),"",IF($B32="","",IF(ISNA(VLOOKUP($B32,'LT07'!$B$11:$M$80,12,FALSE)),"",IF(VLOOKUP($B32,'LT07'!$B$11:$M$80,12,FALSE)="","",VLOOKUP($B32,'LT07'!$B$11:$M$80,12,FALSE)))))</f>
        <v/>
      </c>
      <c r="AG32" s="82" t="str">
        <f>IF(OR($AF$6="",$AF$7=""),"",IF($B32="","",IF(ISNA(VLOOKUP($B32,'LT07'!$B$11:$N$80,13,FALSE)),"",VLOOKUP($B32,'LT07'!$B$11:$N$80,13,FALSE))))</f>
        <v/>
      </c>
      <c r="AH32" s="83"/>
      <c r="AI32" s="84" t="str">
        <f>IF(OR($AF$6="",$AF$7=""),"",IF($B32="","",IF(ISNA(VLOOKUP($B32,'LT07'!$B$11:$Q$80,16,FALSE)),"",VLOOKUP($B32,'LT07'!$B$11:$Q$80,16,FALSE))))</f>
        <v/>
      </c>
      <c r="AJ32" s="304"/>
      <c r="AK32" s="82" t="str">
        <f>IF(OR($AJ$6="",$AJ$7=""),"",IF($B32="","",IF(ISNA(VLOOKUP($B32,'DO AN'!$B$11:$L$80,11,FALSE)),"",IF(VLOOKUP($B32,'DO AN'!$B$11:$L$80,11,FALSE)="","",VLOOKUP($B32,'DO AN'!$B$11:$L$80,11,FALSE)))))</f>
        <v/>
      </c>
      <c r="AL32" s="83"/>
      <c r="AM32" s="451"/>
      <c r="AN32" s="83"/>
      <c r="AO32" s="82" t="str">
        <f>IF(OR($AN$6="",$AN$7=""),"",IF($B32="","",IF(ISNA(VLOOKUP($B32,'DO AN 2'!$B$11:$L$80,11,FALSE)),"",IF(VLOOKUP($B32,'DO AN 2'!$B$11:$L$80,11,FALSE)="","",VLOOKUP($B32,'DO AN 2'!$B$11:$L$80,11,FALSE)))))</f>
        <v/>
      </c>
      <c r="AP32" s="83"/>
      <c r="AQ32" s="83"/>
      <c r="AR32" s="454"/>
      <c r="AS32" s="82">
        <f>IF(OR($AR$6="",$AR$7=""),"",IF($B32="","",IF(ISNA(VLOOKUP($B32,'TH01'!$B$11:$O$80,14,FALSE)),"",VLOOKUP($B32,'TH01'!$B$11:$O$80,14,FALSE))))</f>
        <v>5.8</v>
      </c>
      <c r="AT32" s="83"/>
      <c r="AU32" s="303"/>
      <c r="AV32" s="304"/>
      <c r="AW32" s="82">
        <f>IF(OR($AV$6="",$AV$7=""),"",IF($B32="","",IF(ISNA(VLOOKUP($B32,'TH02'!$B$11:$O$80,14,FALSE)),"",VLOOKUP($B32,'TH02'!$B$11:$O$80,14,FALSE))))</f>
        <v>6.3</v>
      </c>
      <c r="AX32" s="83"/>
      <c r="AY32" s="303"/>
      <c r="AZ32" s="304"/>
      <c r="BA32" s="82">
        <f>IF(OR($AZ$6="",$AZ$7=""),"",IF($B32="","",IF(ISNA(VLOOKUP($B32,'TH03'!$B$11:$O$80,14,FALSE)),"",VLOOKUP($B32,'TH03'!$B$11:$O$80,14,FALSE))))</f>
        <v>6.8</v>
      </c>
      <c r="BB32" s="83"/>
      <c r="BC32" s="303"/>
      <c r="BD32" s="86">
        <f t="shared" si="11"/>
        <v>6.71</v>
      </c>
      <c r="BE32" s="86" t="str">
        <f t="shared" si="12"/>
        <v/>
      </c>
      <c r="BF32" s="87">
        <v>64</v>
      </c>
      <c r="BG32" s="88" t="str">
        <f t="shared" si="0"/>
        <v>T.Bình</v>
      </c>
      <c r="BH32" s="88" t="str">
        <f t="shared" si="1"/>
        <v/>
      </c>
      <c r="BI32" s="87"/>
      <c r="BJ32" s="86" t="str">
        <f t="shared" si="2"/>
        <v/>
      </c>
      <c r="BK32" s="265">
        <f t="shared" si="3"/>
        <v>18</v>
      </c>
      <c r="BL32" s="88">
        <f t="shared" si="4"/>
        <v>0</v>
      </c>
      <c r="BM32" s="88">
        <f t="shared" si="5"/>
        <v>18</v>
      </c>
      <c r="BN32" s="88">
        <f t="shared" si="6"/>
        <v>0</v>
      </c>
      <c r="BO32" s="86">
        <f t="shared" si="13"/>
        <v>6.71</v>
      </c>
      <c r="BP32" s="86" t="str">
        <f t="shared" si="7"/>
        <v>BT</v>
      </c>
      <c r="BQ32" s="86">
        <f t="shared" si="14"/>
        <v>6.71</v>
      </c>
      <c r="BR32" s="86" t="str">
        <f t="shared" si="8"/>
        <v>BT</v>
      </c>
      <c r="BS32" s="87"/>
      <c r="BT32" s="276">
        <f t="shared" si="15"/>
        <v>0</v>
      </c>
      <c r="BU32" s="238">
        <f t="shared" si="16"/>
        <v>7.5</v>
      </c>
      <c r="BV32" s="238">
        <f t="shared" si="17"/>
        <v>8.3000000000000007</v>
      </c>
      <c r="BW32" s="238">
        <f t="shared" si="18"/>
        <v>7</v>
      </c>
      <c r="BX32" s="238">
        <f t="shared" si="19"/>
        <v>8</v>
      </c>
      <c r="BY32" s="238">
        <f t="shared" si="20"/>
        <v>5</v>
      </c>
      <c r="BZ32" s="238" t="str">
        <f t="shared" si="21"/>
        <v/>
      </c>
      <c r="CA32" s="238" t="str">
        <f t="shared" si="22"/>
        <v/>
      </c>
      <c r="CB32" s="238" t="str">
        <f t="shared" si="23"/>
        <v/>
      </c>
      <c r="CC32" s="238" t="str">
        <f t="shared" si="24"/>
        <v/>
      </c>
      <c r="CD32" s="238">
        <f t="shared" si="25"/>
        <v>5.8</v>
      </c>
      <c r="CE32" s="238">
        <f t="shared" si="26"/>
        <v>6.3</v>
      </c>
      <c r="CF32" s="238">
        <f t="shared" si="27"/>
        <v>6.8</v>
      </c>
      <c r="CG32" s="239">
        <f t="shared" si="28"/>
        <v>0</v>
      </c>
      <c r="CH32" s="238">
        <f t="shared" si="29"/>
        <v>7.4</v>
      </c>
      <c r="CI32" s="238">
        <f t="shared" si="30"/>
        <v>7.4</v>
      </c>
      <c r="CJ32" s="238">
        <f t="shared" si="31"/>
        <v>6.5</v>
      </c>
      <c r="CK32" s="238">
        <f t="shared" si="32"/>
        <v>7.3</v>
      </c>
      <c r="CL32" s="238">
        <f t="shared" si="33"/>
        <v>6.1</v>
      </c>
      <c r="CM32" s="238" t="str">
        <f t="shared" si="34"/>
        <v/>
      </c>
      <c r="CN32" s="238" t="str">
        <f t="shared" si="35"/>
        <v/>
      </c>
      <c r="CO32" s="238" t="str">
        <f t="shared" si="36"/>
        <v/>
      </c>
      <c r="CP32" s="238" t="str">
        <f t="shared" si="37"/>
        <v/>
      </c>
      <c r="CQ32" s="238">
        <f t="shared" si="38"/>
        <v>5.8</v>
      </c>
      <c r="CR32" s="238">
        <f t="shared" si="39"/>
        <v>6.3</v>
      </c>
      <c r="CS32" s="238">
        <f t="shared" si="40"/>
        <v>6.8</v>
      </c>
      <c r="CT32" s="240">
        <f t="shared" si="41"/>
        <v>6.71</v>
      </c>
      <c r="CU32" s="241">
        <f t="shared" si="42"/>
        <v>7.4</v>
      </c>
      <c r="CV32" s="241">
        <f t="shared" si="43"/>
        <v>7.4</v>
      </c>
      <c r="CW32" s="241">
        <f t="shared" si="44"/>
        <v>6.5</v>
      </c>
      <c r="CX32" s="241">
        <f t="shared" si="45"/>
        <v>7.3</v>
      </c>
      <c r="CY32" s="241">
        <f t="shared" si="46"/>
        <v>6.1</v>
      </c>
      <c r="CZ32" s="241" t="str">
        <f t="shared" si="47"/>
        <v/>
      </c>
      <c r="DA32" s="241" t="str">
        <f t="shared" si="48"/>
        <v/>
      </c>
      <c r="DB32" s="241" t="str">
        <f t="shared" si="49"/>
        <v/>
      </c>
      <c r="DC32" s="241" t="str">
        <f t="shared" si="50"/>
        <v/>
      </c>
      <c r="DD32" s="241">
        <f t="shared" si="51"/>
        <v>5.8</v>
      </c>
      <c r="DE32" s="241">
        <f t="shared" si="52"/>
        <v>6.3</v>
      </c>
      <c r="DF32" s="241">
        <f t="shared" si="53"/>
        <v>6.8</v>
      </c>
      <c r="DG32" s="242">
        <f t="shared" si="9"/>
        <v>6.71</v>
      </c>
      <c r="DH32" s="82" t="str">
        <f t="shared" si="54"/>
        <v/>
      </c>
      <c r="DI32" s="82" t="str">
        <f t="shared" si="55"/>
        <v/>
      </c>
      <c r="DJ32" s="82" t="str">
        <f t="shared" si="56"/>
        <v/>
      </c>
      <c r="DK32" s="82" t="str">
        <f t="shared" si="57"/>
        <v/>
      </c>
      <c r="DL32" s="82" t="str">
        <f t="shared" si="58"/>
        <v/>
      </c>
      <c r="DM32" s="82" t="str">
        <f t="shared" si="59"/>
        <v/>
      </c>
      <c r="DN32" s="82" t="str">
        <f t="shared" si="60"/>
        <v/>
      </c>
      <c r="DO32" s="82" t="str">
        <f t="shared" si="61"/>
        <v/>
      </c>
      <c r="DP32" s="82" t="str">
        <f t="shared" si="62"/>
        <v/>
      </c>
      <c r="DQ32" s="82" t="str">
        <f t="shared" si="63"/>
        <v/>
      </c>
      <c r="DR32" s="82" t="str">
        <f t="shared" si="64"/>
        <v/>
      </c>
      <c r="DS32" s="253" t="str">
        <f t="shared" si="65"/>
        <v/>
      </c>
      <c r="DT32" s="250">
        <f t="shared" si="66"/>
        <v>7.4</v>
      </c>
      <c r="DU32" s="238">
        <f t="shared" si="67"/>
        <v>7.4</v>
      </c>
      <c r="DV32" s="238">
        <f t="shared" si="68"/>
        <v>6.5</v>
      </c>
      <c r="DW32" s="238">
        <f t="shared" si="69"/>
        <v>7.3</v>
      </c>
      <c r="DX32" s="238">
        <f t="shared" si="70"/>
        <v>6.1</v>
      </c>
      <c r="DY32" s="238" t="str">
        <f t="shared" si="71"/>
        <v/>
      </c>
      <c r="DZ32" s="238" t="str">
        <f t="shared" si="72"/>
        <v/>
      </c>
      <c r="EA32" s="238" t="str">
        <f t="shared" si="73"/>
        <v/>
      </c>
      <c r="EB32" s="238" t="str">
        <f t="shared" si="74"/>
        <v/>
      </c>
      <c r="EC32" s="238">
        <f t="shared" si="75"/>
        <v>5.8</v>
      </c>
      <c r="ED32" s="238">
        <f t="shared" si="76"/>
        <v>6.3</v>
      </c>
      <c r="EE32" s="238">
        <f t="shared" si="77"/>
        <v>6.8</v>
      </c>
      <c r="EF32" s="255" t="str">
        <f t="shared" si="78"/>
        <v/>
      </c>
      <c r="EG32" s="257">
        <f t="shared" si="79"/>
        <v>7.4</v>
      </c>
      <c r="EH32" s="257">
        <f t="shared" si="80"/>
        <v>7.4</v>
      </c>
      <c r="EI32" s="257">
        <f t="shared" si="81"/>
        <v>6.5</v>
      </c>
      <c r="EJ32" s="257">
        <f t="shared" si="82"/>
        <v>7.3</v>
      </c>
      <c r="EK32" s="257">
        <f t="shared" si="83"/>
        <v>6.1</v>
      </c>
      <c r="EL32" s="257" t="str">
        <f t="shared" si="84"/>
        <v/>
      </c>
      <c r="EM32" s="257" t="str">
        <f t="shared" si="85"/>
        <v/>
      </c>
      <c r="EN32" s="257" t="str">
        <f t="shared" si="86"/>
        <v/>
      </c>
      <c r="EO32" s="257" t="str">
        <f t="shared" si="87"/>
        <v/>
      </c>
      <c r="EP32" s="257">
        <f t="shared" si="88"/>
        <v>5.8</v>
      </c>
      <c r="EQ32" s="257">
        <f t="shared" si="89"/>
        <v>6.3</v>
      </c>
      <c r="ER32" s="257">
        <f t="shared" si="90"/>
        <v>6.8</v>
      </c>
      <c r="ES32" s="262">
        <f t="shared" si="10"/>
        <v>6.71</v>
      </c>
      <c r="ET32" s="307">
        <f t="shared" si="91"/>
        <v>6.71</v>
      </c>
    </row>
    <row r="33" spans="1:150" s="89" customFormat="1" ht="30" customHeight="1">
      <c r="A33" s="272">
        <f>IF($B33="","",SUBTOTAL(3,$B$11:B33))</f>
        <v>23</v>
      </c>
      <c r="B33" s="457" t="s">
        <v>1826</v>
      </c>
      <c r="C33" s="76" t="str">
        <f>IF($B33="","",VLOOKUP($B33,'DS LOP HKI'!$B$2:$D$951,2,0))</f>
        <v>Hồ Văn</v>
      </c>
      <c r="D33" s="77" t="str">
        <f>IF($B33="","",VLOOKUP($B33,'DS LOP HKI'!$B$2:$D$951,3,0))</f>
        <v>Hiệp</v>
      </c>
      <c r="E33" s="78"/>
      <c r="F33" s="79"/>
      <c r="G33" s="80">
        <v>1</v>
      </c>
      <c r="H33" s="81">
        <f>IF(OR($H$6="",$H$7=""),"",IF($B33="","",IF(ISNA(VLOOKUP($B33,'LT01'!$B$11:$M$80,12,FALSE)),"",IF(VLOOKUP($B33,'LT01'!$B$11:$M$80,12,FALSE)="","",VLOOKUP($B33,'LT01'!$B$11:$M$80,12,FALSE)))))</f>
        <v>8.5</v>
      </c>
      <c r="I33" s="82">
        <f>IF(OR($H$6="",$H$7=""),"",IF($B33="","",IF(ISNA(VLOOKUP($B33,'LT01'!$B$11:$N$80,13,FALSE)),"",VLOOKUP($B33,'LT01'!$B$11:$N$80,13,FALSE))))</f>
        <v>8.1999999999999993</v>
      </c>
      <c r="J33" s="83"/>
      <c r="K33" s="84" t="str">
        <f>IF(OR($H$6="",$H$7=""),"",IF($B33="","",IF(ISNA(VLOOKUP($B33,'LT01'!$B$11:$Q$80,16,FALSE)),"",IF(VLOOKUP($B33,'LT01'!$B$11:$Q$80,16,FALSE)="","",VLOOKUP($B33,'LT01'!$B$11:$Q$80,16,FALSE)))))</f>
        <v/>
      </c>
      <c r="L33" s="85">
        <f>IF(OR($L$6="",$L$7=""),"",IF($B33="","",IF(ISNA(VLOOKUP($B33,'LT02'!$B$11:$M$80,12,FALSE)),"",IF(VLOOKUP($B33,'LT02'!$B$11:$M$80,12,FALSE)="","",VLOOKUP($B33,'LT02'!$B$11:$M$80,12,FALSE)))))</f>
        <v>8</v>
      </c>
      <c r="M33" s="82">
        <f>IF(OR($L$6="",$L$7=""),"",IF($B33="","",IF(ISNA(VLOOKUP($B33,'LT02'!$B$11:$N$80,13,FALSE)),"",VLOOKUP($B33,'LT02'!$B$11:$N$80,13,FALSE))))</f>
        <v>7.2</v>
      </c>
      <c r="N33" s="83"/>
      <c r="O33" s="84" t="str">
        <f>IF(OR($L$6="",$L$7=""),"",IF($B33="","",IF(ISNA(VLOOKUP($B33,'LT02'!$B$11:$Q$80,16,FALSE)),"",VLOOKUP($B33,'LT02'!$B$11:$Q$80,16,FALSE))))</f>
        <v/>
      </c>
      <c r="P33" s="85">
        <f>IF(OR($P$6="",$P$7=""),"",IF($B33="","",IF(ISNA(VLOOKUP($B33,'LT03'!$B$11:$M$80,12,FALSE)),"",IF(VLOOKUP($B33,'LT03'!$B$11:$M$80,12,FALSE)="","",VLOOKUP($B33,'LT03'!$B$11:$M$80,12,FALSE)))))</f>
        <v>7.3</v>
      </c>
      <c r="Q33" s="82">
        <f>IF(OR($P$6="",$P$7=""),"",IF($B33="","",IF(ISNA(VLOOKUP($B33,'LT03'!$B$11:$N$80,13,FALSE)),"",VLOOKUP($B33,'LT03'!$B$11:$N$80,13,FALSE))))</f>
        <v>6.9</v>
      </c>
      <c r="R33" s="83"/>
      <c r="S33" s="84" t="str">
        <f>IF(OR($P$6="",$P$7=""),"",IF($B33="","",IF(ISNA(VLOOKUP($B33,'LT03'!$B$11:$Q$80,16,FALSE)),"",VLOOKUP($B33,'LT03'!$B$11:$Q$80,16,FALSE))))</f>
        <v/>
      </c>
      <c r="T33" s="85">
        <f>IF(OR($T$6="",$T$7=""),"",IF($B33="","",IF(ISNA(VLOOKUP($B33,'LT04'!$B$11:$M$80,12,FALSE)),"",IF(VLOOKUP($B33,'LT04'!$B$11:$M$80,12,FALSE)="","",VLOOKUP($B33,'LT04'!$B$11:$M$80,12,FALSE)))))</f>
        <v>9</v>
      </c>
      <c r="U33" s="82">
        <f>IF(OR($T$6="",$T$7=""),"",IF($B33="","",IF(ISNA(VLOOKUP($B33,'LT04'!$B$11:$N$80,13,FALSE)),"",VLOOKUP($B33,'LT04'!$B$11:$N$80,13,FALSE))))</f>
        <v>8.1999999999999993</v>
      </c>
      <c r="V33" s="83"/>
      <c r="W33" s="84" t="str">
        <f>IF(OR($T$6="",$T$7=""),"",IF($B33="","",IF(ISNA(VLOOKUP($B33,'LT04'!$B$11:$Q$80,16,FALSE)),"",VLOOKUP($B33,'LT04'!$B$11:$Q$80,16,FALSE))))</f>
        <v/>
      </c>
      <c r="X33" s="85">
        <f>IF(OR($X$6="",$X$7=""),"",IF($B33="","",IF(ISNA(VLOOKUP($B33,'LT05'!$B$11:$M$80,12,FALSE)),"",IF(VLOOKUP($B33,'LT05'!$B$11:$M$80,12,FALSE)="","",VLOOKUP($B33,'LT05'!$B$11:$M$80,12,FALSE)))))</f>
        <v>4.8</v>
      </c>
      <c r="Y33" s="82">
        <f>IF(OR($X$6="",$X$7=""),"",IF($B33="","",IF(ISNA(VLOOKUP($B33,'LT05'!$B$11:$N$80,13,FALSE)),"",VLOOKUP($B33,'LT05'!$B$11:$N$80,13,FALSE))))</f>
        <v>6</v>
      </c>
      <c r="Z33" s="83"/>
      <c r="AA33" s="84" t="str">
        <f>IF(OR($X$6="",$X$7=""),"",IF($B33="","",IF(ISNA(VLOOKUP($B33,'LT05'!$B$11:$Q$80,16,FALSE)),"",VLOOKUP($B33,'LT05'!$B$11:$Q$80,16,FALSE))))</f>
        <v/>
      </c>
      <c r="AB33" s="85" t="str">
        <f>IF(OR($AB$6="",$AB$7=""),"",IF($B33="","",IF(ISNA(VLOOKUP($B33,'LT06'!$B$11:$M$80,12,FALSE)),"",IF(VLOOKUP($B33,'LT06'!$B$11:$M$80,12,FALSE)="","",VLOOKUP($B33,'LT06'!$B$11:$M$80,12,FALSE)))))</f>
        <v/>
      </c>
      <c r="AC33" s="82" t="str">
        <f>IF(OR($AB$6="",$AB$7=""),"",IF($B33="","",IF(ISNA(VLOOKUP($B33,'LT06'!$B$11:$N$80,13,FALSE)),"",VLOOKUP($B33,'LT06'!$B$11:$N$80,13,FALSE))))</f>
        <v/>
      </c>
      <c r="AD33" s="83"/>
      <c r="AE33" s="84" t="str">
        <f>IF(OR($AB$6="",$AB$7=""),"",IF($B33="","",IF(ISNA(VLOOKUP($B33,'LT06'!$B$11:$Q$80,16,FALSE)),"",VLOOKUP($B33,'LT06'!$B$11:$Q$80,16,FALSE))))</f>
        <v/>
      </c>
      <c r="AF33" s="85" t="str">
        <f>IF(OR($AF$6="",$AF$7=""),"",IF($B33="","",IF(ISNA(VLOOKUP($B33,'LT07'!$B$11:$M$80,12,FALSE)),"",IF(VLOOKUP($B33,'LT07'!$B$11:$M$80,12,FALSE)="","",VLOOKUP($B33,'LT07'!$B$11:$M$80,12,FALSE)))))</f>
        <v/>
      </c>
      <c r="AG33" s="82" t="str">
        <f>IF(OR($AF$6="",$AF$7=""),"",IF($B33="","",IF(ISNA(VLOOKUP($B33,'LT07'!$B$11:$N$80,13,FALSE)),"",VLOOKUP($B33,'LT07'!$B$11:$N$80,13,FALSE))))</f>
        <v/>
      </c>
      <c r="AH33" s="83"/>
      <c r="AI33" s="84" t="str">
        <f>IF(OR($AF$6="",$AF$7=""),"",IF($B33="","",IF(ISNA(VLOOKUP($B33,'LT07'!$B$11:$Q$80,16,FALSE)),"",VLOOKUP($B33,'LT07'!$B$11:$Q$80,16,FALSE))))</f>
        <v/>
      </c>
      <c r="AJ33" s="304"/>
      <c r="AK33" s="82" t="str">
        <f>IF(OR($AJ$6="",$AJ$7=""),"",IF($B33="","",IF(ISNA(VLOOKUP($B33,'DO AN'!$B$11:$L$80,11,FALSE)),"",IF(VLOOKUP($B33,'DO AN'!$B$11:$L$80,11,FALSE)="","",VLOOKUP($B33,'DO AN'!$B$11:$L$80,11,FALSE)))))</f>
        <v/>
      </c>
      <c r="AL33" s="83"/>
      <c r="AM33" s="451"/>
      <c r="AN33" s="83"/>
      <c r="AO33" s="82" t="str">
        <f>IF(OR($AN$6="",$AN$7=""),"",IF($B33="","",IF(ISNA(VLOOKUP($B33,'DO AN 2'!$B$11:$L$80,11,FALSE)),"",IF(VLOOKUP($B33,'DO AN 2'!$B$11:$L$80,11,FALSE)="","",VLOOKUP($B33,'DO AN 2'!$B$11:$L$80,11,FALSE)))))</f>
        <v/>
      </c>
      <c r="AP33" s="83"/>
      <c r="AQ33" s="83"/>
      <c r="AR33" s="454"/>
      <c r="AS33" s="82">
        <f>IF(OR($AR$6="",$AR$7=""),"",IF($B33="","",IF(ISNA(VLOOKUP($B33,'TH01'!$B$11:$O$80,14,FALSE)),"",VLOOKUP($B33,'TH01'!$B$11:$O$80,14,FALSE))))</f>
        <v>7.2</v>
      </c>
      <c r="AT33" s="83"/>
      <c r="AU33" s="303"/>
      <c r="AV33" s="304"/>
      <c r="AW33" s="82">
        <f>IF(OR($AV$6="",$AV$7=""),"",IF($B33="","",IF(ISNA(VLOOKUP($B33,'TH02'!$B$11:$O$80,14,FALSE)),"",VLOOKUP($B33,'TH02'!$B$11:$O$80,14,FALSE))))</f>
        <v>7</v>
      </c>
      <c r="AX33" s="83"/>
      <c r="AY33" s="303"/>
      <c r="AZ33" s="304"/>
      <c r="BA33" s="82">
        <f>IF(OR($AZ$6="",$AZ$7=""),"",IF($B33="","",IF(ISNA(VLOOKUP($B33,'TH03'!$B$11:$O$80,14,FALSE)),"",VLOOKUP($B33,'TH03'!$B$11:$O$80,14,FALSE))))</f>
        <v>7.5</v>
      </c>
      <c r="BB33" s="83"/>
      <c r="BC33" s="303"/>
      <c r="BD33" s="86">
        <f t="shared" si="11"/>
        <v>7.26</v>
      </c>
      <c r="BE33" s="86" t="str">
        <f t="shared" si="12"/>
        <v/>
      </c>
      <c r="BF33" s="87">
        <v>70</v>
      </c>
      <c r="BG33" s="88" t="str">
        <f t="shared" si="0"/>
        <v>Khá</v>
      </c>
      <c r="BH33" s="88" t="str">
        <f t="shared" si="1"/>
        <v/>
      </c>
      <c r="BI33" s="87"/>
      <c r="BJ33" s="86" t="str">
        <f t="shared" si="2"/>
        <v/>
      </c>
      <c r="BK33" s="265">
        <f t="shared" si="3"/>
        <v>18</v>
      </c>
      <c r="BL33" s="88">
        <f t="shared" si="4"/>
        <v>0</v>
      </c>
      <c r="BM33" s="88">
        <f t="shared" si="5"/>
        <v>18</v>
      </c>
      <c r="BN33" s="88">
        <f t="shared" si="6"/>
        <v>0</v>
      </c>
      <c r="BO33" s="86">
        <f t="shared" si="13"/>
        <v>7.26</v>
      </c>
      <c r="BP33" s="86" t="str">
        <f t="shared" si="7"/>
        <v>BT</v>
      </c>
      <c r="BQ33" s="86">
        <f t="shared" si="14"/>
        <v>7.26</v>
      </c>
      <c r="BR33" s="86" t="str">
        <f t="shared" si="8"/>
        <v>BT</v>
      </c>
      <c r="BS33" s="87"/>
      <c r="BT33" s="276">
        <f t="shared" si="15"/>
        <v>1</v>
      </c>
      <c r="BU33" s="238">
        <f t="shared" si="16"/>
        <v>8.5</v>
      </c>
      <c r="BV33" s="238">
        <f t="shared" si="17"/>
        <v>8</v>
      </c>
      <c r="BW33" s="238">
        <f t="shared" si="18"/>
        <v>7.3</v>
      </c>
      <c r="BX33" s="238">
        <f t="shared" si="19"/>
        <v>9</v>
      </c>
      <c r="BY33" s="238">
        <f t="shared" si="20"/>
        <v>4.8</v>
      </c>
      <c r="BZ33" s="238" t="str">
        <f t="shared" si="21"/>
        <v/>
      </c>
      <c r="CA33" s="238" t="str">
        <f t="shared" si="22"/>
        <v/>
      </c>
      <c r="CB33" s="238" t="str">
        <f t="shared" si="23"/>
        <v/>
      </c>
      <c r="CC33" s="238" t="str">
        <f t="shared" si="24"/>
        <v/>
      </c>
      <c r="CD33" s="238">
        <f t="shared" si="25"/>
        <v>7.2</v>
      </c>
      <c r="CE33" s="238">
        <f t="shared" si="26"/>
        <v>7</v>
      </c>
      <c r="CF33" s="238">
        <f t="shared" si="27"/>
        <v>7.5</v>
      </c>
      <c r="CG33" s="239">
        <f t="shared" si="28"/>
        <v>0</v>
      </c>
      <c r="CH33" s="238">
        <f t="shared" si="29"/>
        <v>8.1999999999999993</v>
      </c>
      <c r="CI33" s="238">
        <f t="shared" si="30"/>
        <v>7.2</v>
      </c>
      <c r="CJ33" s="238">
        <f t="shared" si="31"/>
        <v>6.9</v>
      </c>
      <c r="CK33" s="238">
        <f t="shared" si="32"/>
        <v>8.1999999999999993</v>
      </c>
      <c r="CL33" s="238">
        <f t="shared" si="33"/>
        <v>6</v>
      </c>
      <c r="CM33" s="238" t="str">
        <f t="shared" si="34"/>
        <v/>
      </c>
      <c r="CN33" s="238" t="str">
        <f t="shared" si="35"/>
        <v/>
      </c>
      <c r="CO33" s="238" t="str">
        <f t="shared" si="36"/>
        <v/>
      </c>
      <c r="CP33" s="238" t="str">
        <f t="shared" si="37"/>
        <v/>
      </c>
      <c r="CQ33" s="238">
        <f t="shared" si="38"/>
        <v>7.2</v>
      </c>
      <c r="CR33" s="238">
        <f t="shared" si="39"/>
        <v>7</v>
      </c>
      <c r="CS33" s="238">
        <f t="shared" si="40"/>
        <v>7.5</v>
      </c>
      <c r="CT33" s="240">
        <f t="shared" si="41"/>
        <v>7.26</v>
      </c>
      <c r="CU33" s="241">
        <f t="shared" si="42"/>
        <v>8.1999999999999993</v>
      </c>
      <c r="CV33" s="241">
        <f t="shared" si="43"/>
        <v>7.2</v>
      </c>
      <c r="CW33" s="241">
        <f t="shared" si="44"/>
        <v>6.9</v>
      </c>
      <c r="CX33" s="241">
        <f t="shared" si="45"/>
        <v>8.1999999999999993</v>
      </c>
      <c r="CY33" s="241">
        <f t="shared" si="46"/>
        <v>6</v>
      </c>
      <c r="CZ33" s="241" t="str">
        <f t="shared" si="47"/>
        <v/>
      </c>
      <c r="DA33" s="241" t="str">
        <f t="shared" si="48"/>
        <v/>
      </c>
      <c r="DB33" s="241" t="str">
        <f t="shared" si="49"/>
        <v/>
      </c>
      <c r="DC33" s="241" t="str">
        <f t="shared" si="50"/>
        <v/>
      </c>
      <c r="DD33" s="241">
        <f t="shared" si="51"/>
        <v>7.2</v>
      </c>
      <c r="DE33" s="241">
        <f t="shared" si="52"/>
        <v>7</v>
      </c>
      <c r="DF33" s="241">
        <f t="shared" si="53"/>
        <v>7.5</v>
      </c>
      <c r="DG33" s="242">
        <f t="shared" si="9"/>
        <v>7.26</v>
      </c>
      <c r="DH33" s="82" t="str">
        <f t="shared" si="54"/>
        <v/>
      </c>
      <c r="DI33" s="82" t="str">
        <f t="shared" si="55"/>
        <v/>
      </c>
      <c r="DJ33" s="82" t="str">
        <f t="shared" si="56"/>
        <v/>
      </c>
      <c r="DK33" s="82" t="str">
        <f t="shared" si="57"/>
        <v/>
      </c>
      <c r="DL33" s="82" t="str">
        <f t="shared" si="58"/>
        <v/>
      </c>
      <c r="DM33" s="82" t="str">
        <f t="shared" si="59"/>
        <v/>
      </c>
      <c r="DN33" s="82" t="str">
        <f t="shared" si="60"/>
        <v/>
      </c>
      <c r="DO33" s="82" t="str">
        <f t="shared" si="61"/>
        <v/>
      </c>
      <c r="DP33" s="82" t="str">
        <f t="shared" si="62"/>
        <v/>
      </c>
      <c r="DQ33" s="82" t="str">
        <f t="shared" si="63"/>
        <v/>
      </c>
      <c r="DR33" s="82" t="str">
        <f t="shared" si="64"/>
        <v/>
      </c>
      <c r="DS33" s="253" t="str">
        <f t="shared" si="65"/>
        <v/>
      </c>
      <c r="DT33" s="250">
        <f t="shared" si="66"/>
        <v>8.1999999999999993</v>
      </c>
      <c r="DU33" s="238">
        <f t="shared" si="67"/>
        <v>7.2</v>
      </c>
      <c r="DV33" s="238">
        <f t="shared" si="68"/>
        <v>6.9</v>
      </c>
      <c r="DW33" s="238">
        <f t="shared" si="69"/>
        <v>8.1999999999999993</v>
      </c>
      <c r="DX33" s="238">
        <f t="shared" si="70"/>
        <v>6</v>
      </c>
      <c r="DY33" s="238" t="str">
        <f t="shared" si="71"/>
        <v/>
      </c>
      <c r="DZ33" s="238" t="str">
        <f t="shared" si="72"/>
        <v/>
      </c>
      <c r="EA33" s="238" t="str">
        <f t="shared" si="73"/>
        <v/>
      </c>
      <c r="EB33" s="238" t="str">
        <f t="shared" si="74"/>
        <v/>
      </c>
      <c r="EC33" s="238">
        <f t="shared" si="75"/>
        <v>7.2</v>
      </c>
      <c r="ED33" s="238">
        <f t="shared" si="76"/>
        <v>7</v>
      </c>
      <c r="EE33" s="238">
        <f t="shared" si="77"/>
        <v>7.5</v>
      </c>
      <c r="EF33" s="255" t="str">
        <f t="shared" si="78"/>
        <v/>
      </c>
      <c r="EG33" s="257">
        <f t="shared" si="79"/>
        <v>8.1999999999999993</v>
      </c>
      <c r="EH33" s="257">
        <f t="shared" si="80"/>
        <v>7.2</v>
      </c>
      <c r="EI33" s="257">
        <f t="shared" si="81"/>
        <v>6.9</v>
      </c>
      <c r="EJ33" s="257">
        <f t="shared" si="82"/>
        <v>8.1999999999999993</v>
      </c>
      <c r="EK33" s="257">
        <f t="shared" si="83"/>
        <v>6</v>
      </c>
      <c r="EL33" s="257" t="str">
        <f t="shared" si="84"/>
        <v/>
      </c>
      <c r="EM33" s="257" t="str">
        <f t="shared" si="85"/>
        <v/>
      </c>
      <c r="EN33" s="257" t="str">
        <f t="shared" si="86"/>
        <v/>
      </c>
      <c r="EO33" s="257" t="str">
        <f t="shared" si="87"/>
        <v/>
      </c>
      <c r="EP33" s="257">
        <f t="shared" si="88"/>
        <v>7.2</v>
      </c>
      <c r="EQ33" s="257">
        <f t="shared" si="89"/>
        <v>7</v>
      </c>
      <c r="ER33" s="257">
        <f t="shared" si="90"/>
        <v>7.5</v>
      </c>
      <c r="ES33" s="262">
        <f t="shared" si="10"/>
        <v>7.26</v>
      </c>
      <c r="ET33" s="307">
        <f t="shared" si="91"/>
        <v>7.26</v>
      </c>
    </row>
    <row r="34" spans="1:150" s="89" customFormat="1" ht="30" customHeight="1">
      <c r="A34" s="272">
        <f>IF($B34="","",SUBTOTAL(3,$B$11:B34))</f>
        <v>24</v>
      </c>
      <c r="B34" s="457" t="s">
        <v>1571</v>
      </c>
      <c r="C34" s="76" t="str">
        <f>IF($B34="","",VLOOKUP($B34,'DS LOP HKI'!$B$2:$D$951,2,0))</f>
        <v>Lê Minh</v>
      </c>
      <c r="D34" s="77" t="str">
        <f>IF($B34="","",VLOOKUP($B34,'DS LOP HKI'!$B$2:$D$951,3,0))</f>
        <v>Hiếu</v>
      </c>
      <c r="E34" s="78"/>
      <c r="F34" s="79"/>
      <c r="G34" s="80">
        <v>1</v>
      </c>
      <c r="H34" s="81">
        <f>IF(OR($H$6="",$H$7=""),"",IF($B34="","",IF(ISNA(VLOOKUP($B34,'LT01'!$B$11:$M$80,12,FALSE)),"",IF(VLOOKUP($B34,'LT01'!$B$11:$M$80,12,FALSE)="","",VLOOKUP($B34,'LT01'!$B$11:$M$80,12,FALSE)))))</f>
        <v>7</v>
      </c>
      <c r="I34" s="82">
        <f>IF(OR($H$6="",$H$7=""),"",IF($B34="","",IF(ISNA(VLOOKUP($B34,'LT01'!$B$11:$N$80,13,FALSE)),"",VLOOKUP($B34,'LT01'!$B$11:$N$80,13,FALSE))))</f>
        <v>6.8</v>
      </c>
      <c r="J34" s="83"/>
      <c r="K34" s="84" t="str">
        <f>IF(OR($H$6="",$H$7=""),"",IF($B34="","",IF(ISNA(VLOOKUP($B34,'LT01'!$B$11:$Q$80,16,FALSE)),"",IF(VLOOKUP($B34,'LT01'!$B$11:$Q$80,16,FALSE)="","",VLOOKUP($B34,'LT01'!$B$11:$Q$80,16,FALSE)))))</f>
        <v/>
      </c>
      <c r="L34" s="85">
        <f>IF(OR($L$6="",$L$7=""),"",IF($B34="","",IF(ISNA(VLOOKUP($B34,'LT02'!$B$11:$M$80,12,FALSE)),"",IF(VLOOKUP($B34,'LT02'!$B$11:$M$80,12,FALSE)="","",VLOOKUP($B34,'LT02'!$B$11:$M$80,12,FALSE)))))</f>
        <v>8.8000000000000007</v>
      </c>
      <c r="M34" s="82">
        <f>IF(OR($L$6="",$L$7=""),"",IF($B34="","",IF(ISNA(VLOOKUP($B34,'LT02'!$B$11:$N$80,13,FALSE)),"",VLOOKUP($B34,'LT02'!$B$11:$N$80,13,FALSE))))</f>
        <v>7.9</v>
      </c>
      <c r="N34" s="83"/>
      <c r="O34" s="84" t="str">
        <f>IF(OR($L$6="",$L$7=""),"",IF($B34="","",IF(ISNA(VLOOKUP($B34,'LT02'!$B$11:$Q$80,16,FALSE)),"",VLOOKUP($B34,'LT02'!$B$11:$Q$80,16,FALSE))))</f>
        <v/>
      </c>
      <c r="P34" s="85">
        <f>IF(OR($P$6="",$P$7=""),"",IF($B34="","",IF(ISNA(VLOOKUP($B34,'LT03'!$B$11:$M$80,12,FALSE)),"",IF(VLOOKUP($B34,'LT03'!$B$11:$M$80,12,FALSE)="","",VLOOKUP($B34,'LT03'!$B$11:$M$80,12,FALSE)))))</f>
        <v>2.5</v>
      </c>
      <c r="Q34" s="82">
        <f>IF(OR($P$6="",$P$7=""),"",IF($B34="","",IF(ISNA(VLOOKUP($B34,'LT03'!$B$11:$N$80,13,FALSE)),"",VLOOKUP($B34,'LT03'!$B$11:$N$80,13,FALSE))))</f>
        <v>3.9</v>
      </c>
      <c r="R34" s="83"/>
      <c r="S34" s="84" t="str">
        <f>IF(OR($P$6="",$P$7=""),"",IF($B34="","",IF(ISNA(VLOOKUP($B34,'LT03'!$B$11:$Q$80,16,FALSE)),"",VLOOKUP($B34,'LT03'!$B$11:$Q$80,16,FALSE))))</f>
        <v/>
      </c>
      <c r="T34" s="85">
        <f>IF(OR($T$6="",$T$7=""),"",IF($B34="","",IF(ISNA(VLOOKUP($B34,'LT04'!$B$11:$M$80,12,FALSE)),"",IF(VLOOKUP($B34,'LT04'!$B$11:$M$80,12,FALSE)="","",VLOOKUP($B34,'LT04'!$B$11:$M$80,12,FALSE)))))</f>
        <v>7.5</v>
      </c>
      <c r="U34" s="82">
        <f>IF(OR($T$6="",$T$7=""),"",IF($B34="","",IF(ISNA(VLOOKUP($B34,'LT04'!$B$11:$N$80,13,FALSE)),"",VLOOKUP($B34,'LT04'!$B$11:$N$80,13,FALSE))))</f>
        <v>7.8</v>
      </c>
      <c r="V34" s="83"/>
      <c r="W34" s="84" t="str">
        <f>IF(OR($T$6="",$T$7=""),"",IF($B34="","",IF(ISNA(VLOOKUP($B34,'LT04'!$B$11:$Q$80,16,FALSE)),"",VLOOKUP($B34,'LT04'!$B$11:$Q$80,16,FALSE))))</f>
        <v/>
      </c>
      <c r="X34" s="85">
        <f>IF(OR($X$6="",$X$7=""),"",IF($B34="","",IF(ISNA(VLOOKUP($B34,'LT05'!$B$11:$M$80,12,FALSE)),"",IF(VLOOKUP($B34,'LT05'!$B$11:$M$80,12,FALSE)="","",VLOOKUP($B34,'LT05'!$B$11:$M$80,12,FALSE)))))</f>
        <v>3.8</v>
      </c>
      <c r="Y34" s="82">
        <f>IF(OR($X$6="",$X$7=""),"",IF($B34="","",IF(ISNA(VLOOKUP($B34,'LT05'!$B$11:$N$80,13,FALSE)),"",VLOOKUP($B34,'LT05'!$B$11:$N$80,13,FALSE))))</f>
        <v>4.7</v>
      </c>
      <c r="Z34" s="83"/>
      <c r="AA34" s="84" t="str">
        <f>IF(OR($X$6="",$X$7=""),"",IF($B34="","",IF(ISNA(VLOOKUP($B34,'LT05'!$B$11:$Q$80,16,FALSE)),"",VLOOKUP($B34,'LT05'!$B$11:$Q$80,16,FALSE))))</f>
        <v/>
      </c>
      <c r="AB34" s="85" t="str">
        <f>IF(OR($AB$6="",$AB$7=""),"",IF($B34="","",IF(ISNA(VLOOKUP($B34,'LT06'!$B$11:$M$80,12,FALSE)),"",IF(VLOOKUP($B34,'LT06'!$B$11:$M$80,12,FALSE)="","",VLOOKUP($B34,'LT06'!$B$11:$M$80,12,FALSE)))))</f>
        <v/>
      </c>
      <c r="AC34" s="82" t="str">
        <f>IF(OR($AB$6="",$AB$7=""),"",IF($B34="","",IF(ISNA(VLOOKUP($B34,'LT06'!$B$11:$N$80,13,FALSE)),"",VLOOKUP($B34,'LT06'!$B$11:$N$80,13,FALSE))))</f>
        <v/>
      </c>
      <c r="AD34" s="83"/>
      <c r="AE34" s="84" t="str">
        <f>IF(OR($AB$6="",$AB$7=""),"",IF($B34="","",IF(ISNA(VLOOKUP($B34,'LT06'!$B$11:$Q$80,16,FALSE)),"",VLOOKUP($B34,'LT06'!$B$11:$Q$80,16,FALSE))))</f>
        <v/>
      </c>
      <c r="AF34" s="85" t="str">
        <f>IF(OR($AF$6="",$AF$7=""),"",IF($B34="","",IF(ISNA(VLOOKUP($B34,'LT07'!$B$11:$M$80,12,FALSE)),"",IF(VLOOKUP($B34,'LT07'!$B$11:$M$80,12,FALSE)="","",VLOOKUP($B34,'LT07'!$B$11:$M$80,12,FALSE)))))</f>
        <v/>
      </c>
      <c r="AG34" s="82" t="str">
        <f>IF(OR($AF$6="",$AF$7=""),"",IF($B34="","",IF(ISNA(VLOOKUP($B34,'LT07'!$B$11:$N$80,13,FALSE)),"",VLOOKUP($B34,'LT07'!$B$11:$N$80,13,FALSE))))</f>
        <v/>
      </c>
      <c r="AH34" s="83"/>
      <c r="AI34" s="84" t="str">
        <f>IF(OR($AF$6="",$AF$7=""),"",IF($B34="","",IF(ISNA(VLOOKUP($B34,'LT07'!$B$11:$Q$80,16,FALSE)),"",VLOOKUP($B34,'LT07'!$B$11:$Q$80,16,FALSE))))</f>
        <v/>
      </c>
      <c r="AJ34" s="304"/>
      <c r="AK34" s="82" t="str">
        <f>IF(OR($AJ$6="",$AJ$7=""),"",IF($B34="","",IF(ISNA(VLOOKUP($B34,'DO AN'!$B$11:$L$80,11,FALSE)),"",IF(VLOOKUP($B34,'DO AN'!$B$11:$L$80,11,FALSE)="","",VLOOKUP($B34,'DO AN'!$B$11:$L$80,11,FALSE)))))</f>
        <v/>
      </c>
      <c r="AL34" s="83"/>
      <c r="AM34" s="451"/>
      <c r="AN34" s="83"/>
      <c r="AO34" s="82" t="str">
        <f>IF(OR($AN$6="",$AN$7=""),"",IF($B34="","",IF(ISNA(VLOOKUP($B34,'DO AN 2'!$B$11:$L$80,11,FALSE)),"",IF(VLOOKUP($B34,'DO AN 2'!$B$11:$L$80,11,FALSE)="","",VLOOKUP($B34,'DO AN 2'!$B$11:$L$80,11,FALSE)))))</f>
        <v/>
      </c>
      <c r="AP34" s="83"/>
      <c r="AQ34" s="83"/>
      <c r="AR34" s="454"/>
      <c r="AS34" s="82">
        <f>IF(OR($AR$6="",$AR$7=""),"",IF($B34="","",IF(ISNA(VLOOKUP($B34,'TH01'!$B$11:$O$80,14,FALSE)),"",VLOOKUP($B34,'TH01'!$B$11:$O$80,14,FALSE))))</f>
        <v>6</v>
      </c>
      <c r="AT34" s="83"/>
      <c r="AU34" s="303"/>
      <c r="AV34" s="304"/>
      <c r="AW34" s="82">
        <f>IF(OR($AV$6="",$AV$7=""),"",IF($B34="","",IF(ISNA(VLOOKUP($B34,'TH02'!$B$11:$O$80,14,FALSE)),"",VLOOKUP($B34,'TH02'!$B$11:$O$80,14,FALSE))))</f>
        <v>5.8</v>
      </c>
      <c r="AX34" s="83"/>
      <c r="AY34" s="303"/>
      <c r="AZ34" s="304"/>
      <c r="BA34" s="82">
        <f>IF(OR($AZ$6="",$AZ$7=""),"",IF($B34="","",IF(ISNA(VLOOKUP($B34,'TH03'!$B$11:$O$80,14,FALSE)),"",VLOOKUP($B34,'TH03'!$B$11:$O$80,14,FALSE))))</f>
        <v>6.8</v>
      </c>
      <c r="BB34" s="83"/>
      <c r="BC34" s="303"/>
      <c r="BD34" s="86">
        <f t="shared" si="11"/>
        <v>6.16</v>
      </c>
      <c r="BE34" s="86" t="str">
        <f t="shared" si="12"/>
        <v/>
      </c>
      <c r="BF34" s="87">
        <v>65</v>
      </c>
      <c r="BG34" s="88" t="str">
        <f t="shared" si="0"/>
        <v>T.Bình</v>
      </c>
      <c r="BH34" s="88" t="str">
        <f t="shared" si="1"/>
        <v/>
      </c>
      <c r="BI34" s="87"/>
      <c r="BJ34" s="86" t="str">
        <f t="shared" si="2"/>
        <v/>
      </c>
      <c r="BK34" s="265">
        <f t="shared" si="3"/>
        <v>16</v>
      </c>
      <c r="BL34" s="88">
        <f t="shared" si="4"/>
        <v>2</v>
      </c>
      <c r="BM34" s="88">
        <f t="shared" si="5"/>
        <v>16</v>
      </c>
      <c r="BN34" s="88">
        <f t="shared" si="6"/>
        <v>2</v>
      </c>
      <c r="BO34" s="86">
        <f t="shared" si="13"/>
        <v>6.44</v>
      </c>
      <c r="BP34" s="86" t="str">
        <f t="shared" si="7"/>
        <v>BT</v>
      </c>
      <c r="BQ34" s="86">
        <f t="shared" si="14"/>
        <v>6.44</v>
      </c>
      <c r="BR34" s="86" t="str">
        <f t="shared" si="8"/>
        <v>BT</v>
      </c>
      <c r="BS34" s="87"/>
      <c r="BT34" s="276">
        <f t="shared" si="15"/>
        <v>2</v>
      </c>
      <c r="BU34" s="238">
        <f t="shared" si="16"/>
        <v>7</v>
      </c>
      <c r="BV34" s="238">
        <f t="shared" si="17"/>
        <v>8.8000000000000007</v>
      </c>
      <c r="BW34" s="238">
        <f t="shared" si="18"/>
        <v>2.5</v>
      </c>
      <c r="BX34" s="238">
        <f t="shared" si="19"/>
        <v>7.5</v>
      </c>
      <c r="BY34" s="238">
        <f t="shared" si="20"/>
        <v>3.8</v>
      </c>
      <c r="BZ34" s="238" t="str">
        <f t="shared" si="21"/>
        <v/>
      </c>
      <c r="CA34" s="238" t="str">
        <f t="shared" si="22"/>
        <v/>
      </c>
      <c r="CB34" s="238" t="str">
        <f t="shared" si="23"/>
        <v/>
      </c>
      <c r="CC34" s="238" t="str">
        <f t="shared" si="24"/>
        <v/>
      </c>
      <c r="CD34" s="238">
        <f t="shared" si="25"/>
        <v>6</v>
      </c>
      <c r="CE34" s="238">
        <f t="shared" si="26"/>
        <v>5.8</v>
      </c>
      <c r="CF34" s="238">
        <f t="shared" si="27"/>
        <v>6.8</v>
      </c>
      <c r="CG34" s="239">
        <f t="shared" si="28"/>
        <v>1</v>
      </c>
      <c r="CH34" s="238">
        <f t="shared" si="29"/>
        <v>6.8</v>
      </c>
      <c r="CI34" s="238">
        <f t="shared" si="30"/>
        <v>7.9</v>
      </c>
      <c r="CJ34" s="238">
        <f t="shared" si="31"/>
        <v>3.9</v>
      </c>
      <c r="CK34" s="238">
        <f t="shared" si="32"/>
        <v>7.8</v>
      </c>
      <c r="CL34" s="238">
        <f t="shared" si="33"/>
        <v>4.7</v>
      </c>
      <c r="CM34" s="238" t="str">
        <f t="shared" si="34"/>
        <v/>
      </c>
      <c r="CN34" s="238" t="str">
        <f t="shared" si="35"/>
        <v/>
      </c>
      <c r="CO34" s="238" t="str">
        <f t="shared" si="36"/>
        <v/>
      </c>
      <c r="CP34" s="238" t="str">
        <f t="shared" si="37"/>
        <v/>
      </c>
      <c r="CQ34" s="238">
        <f t="shared" si="38"/>
        <v>6</v>
      </c>
      <c r="CR34" s="238">
        <f t="shared" si="39"/>
        <v>5.8</v>
      </c>
      <c r="CS34" s="238">
        <f t="shared" si="40"/>
        <v>6.8</v>
      </c>
      <c r="CT34" s="240">
        <f t="shared" si="41"/>
        <v>6.16</v>
      </c>
      <c r="CU34" s="241">
        <f t="shared" si="42"/>
        <v>6.8</v>
      </c>
      <c r="CV34" s="241">
        <f t="shared" si="43"/>
        <v>7.9</v>
      </c>
      <c r="CW34" s="241" t="str">
        <f t="shared" si="44"/>
        <v/>
      </c>
      <c r="CX34" s="241">
        <f t="shared" si="45"/>
        <v>7.8</v>
      </c>
      <c r="CY34" s="241">
        <f t="shared" si="46"/>
        <v>4.7</v>
      </c>
      <c r="CZ34" s="241" t="str">
        <f t="shared" si="47"/>
        <v/>
      </c>
      <c r="DA34" s="241" t="str">
        <f t="shared" si="48"/>
        <v/>
      </c>
      <c r="DB34" s="241" t="str">
        <f t="shared" si="49"/>
        <v/>
      </c>
      <c r="DC34" s="241" t="str">
        <f t="shared" si="50"/>
        <v/>
      </c>
      <c r="DD34" s="241">
        <f t="shared" si="51"/>
        <v>6</v>
      </c>
      <c r="DE34" s="241">
        <f t="shared" si="52"/>
        <v>5.8</v>
      </c>
      <c r="DF34" s="241">
        <f t="shared" si="53"/>
        <v>6.8</v>
      </c>
      <c r="DG34" s="242">
        <f t="shared" si="9"/>
        <v>6.44</v>
      </c>
      <c r="DH34" s="82" t="str">
        <f t="shared" si="54"/>
        <v/>
      </c>
      <c r="DI34" s="82" t="str">
        <f t="shared" si="55"/>
        <v/>
      </c>
      <c r="DJ34" s="82" t="str">
        <f t="shared" si="56"/>
        <v/>
      </c>
      <c r="DK34" s="82" t="str">
        <f t="shared" si="57"/>
        <v/>
      </c>
      <c r="DL34" s="82" t="str">
        <f t="shared" si="58"/>
        <v/>
      </c>
      <c r="DM34" s="82" t="str">
        <f t="shared" si="59"/>
        <v/>
      </c>
      <c r="DN34" s="82" t="str">
        <f t="shared" si="60"/>
        <v/>
      </c>
      <c r="DO34" s="82" t="str">
        <f t="shared" si="61"/>
        <v/>
      </c>
      <c r="DP34" s="82" t="str">
        <f t="shared" si="62"/>
        <v/>
      </c>
      <c r="DQ34" s="82" t="str">
        <f t="shared" si="63"/>
        <v/>
      </c>
      <c r="DR34" s="82" t="str">
        <f t="shared" si="64"/>
        <v/>
      </c>
      <c r="DS34" s="253" t="str">
        <f t="shared" si="65"/>
        <v/>
      </c>
      <c r="DT34" s="250">
        <f t="shared" si="66"/>
        <v>6.8</v>
      </c>
      <c r="DU34" s="238">
        <f t="shared" si="67"/>
        <v>7.9</v>
      </c>
      <c r="DV34" s="238">
        <f t="shared" si="68"/>
        <v>3.9</v>
      </c>
      <c r="DW34" s="238">
        <f t="shared" si="69"/>
        <v>7.8</v>
      </c>
      <c r="DX34" s="238">
        <f t="shared" si="70"/>
        <v>4.7</v>
      </c>
      <c r="DY34" s="238" t="str">
        <f t="shared" si="71"/>
        <v/>
      </c>
      <c r="DZ34" s="238" t="str">
        <f t="shared" si="72"/>
        <v/>
      </c>
      <c r="EA34" s="238" t="str">
        <f t="shared" si="73"/>
        <v/>
      </c>
      <c r="EB34" s="238" t="str">
        <f t="shared" si="74"/>
        <v/>
      </c>
      <c r="EC34" s="238">
        <f t="shared" si="75"/>
        <v>6</v>
      </c>
      <c r="ED34" s="238">
        <f t="shared" si="76"/>
        <v>5.8</v>
      </c>
      <c r="EE34" s="238">
        <f t="shared" si="77"/>
        <v>6.8</v>
      </c>
      <c r="EF34" s="255" t="str">
        <f t="shared" si="78"/>
        <v/>
      </c>
      <c r="EG34" s="257">
        <f t="shared" si="79"/>
        <v>6.8</v>
      </c>
      <c r="EH34" s="257">
        <f t="shared" si="80"/>
        <v>7.9</v>
      </c>
      <c r="EI34" s="257" t="str">
        <f t="shared" si="81"/>
        <v/>
      </c>
      <c r="EJ34" s="257">
        <f t="shared" si="82"/>
        <v>7.8</v>
      </c>
      <c r="EK34" s="257">
        <f t="shared" si="83"/>
        <v>4.7</v>
      </c>
      <c r="EL34" s="257" t="str">
        <f t="shared" si="84"/>
        <v/>
      </c>
      <c r="EM34" s="257" t="str">
        <f t="shared" si="85"/>
        <v/>
      </c>
      <c r="EN34" s="257" t="str">
        <f t="shared" si="86"/>
        <v/>
      </c>
      <c r="EO34" s="257" t="str">
        <f t="shared" si="87"/>
        <v/>
      </c>
      <c r="EP34" s="257">
        <f t="shared" si="88"/>
        <v>6</v>
      </c>
      <c r="EQ34" s="257">
        <f t="shared" si="89"/>
        <v>5.8</v>
      </c>
      <c r="ER34" s="257">
        <f t="shared" si="90"/>
        <v>6.8</v>
      </c>
      <c r="ES34" s="262">
        <f t="shared" si="10"/>
        <v>6.44</v>
      </c>
      <c r="ET34" s="307">
        <f t="shared" si="91"/>
        <v>6.16</v>
      </c>
    </row>
    <row r="35" spans="1:150" s="89" customFormat="1" ht="30" customHeight="1">
      <c r="A35" s="272">
        <f>IF($B35="","",SUBTOTAL(3,$B$11:B35))</f>
        <v>25</v>
      </c>
      <c r="B35" s="457" t="s">
        <v>1573</v>
      </c>
      <c r="C35" s="76" t="str">
        <f>IF($B35="","",VLOOKUP($B35,'DS LOP HKI'!$B$2:$D$951,2,0))</f>
        <v>Nguyễn Ngọc</v>
      </c>
      <c r="D35" s="77" t="str">
        <f>IF($B35="","",VLOOKUP($B35,'DS LOP HKI'!$B$2:$D$951,3,0))</f>
        <v>Hoài</v>
      </c>
      <c r="E35" s="78"/>
      <c r="F35" s="79"/>
      <c r="G35" s="80"/>
      <c r="H35" s="81">
        <f>IF(OR($H$6="",$H$7=""),"",IF($B35="","",IF(ISNA(VLOOKUP($B35,'LT01'!$B$11:$M$80,12,FALSE)),"",IF(VLOOKUP($B35,'LT01'!$B$11:$M$80,12,FALSE)="","",VLOOKUP($B35,'LT01'!$B$11:$M$80,12,FALSE)))))</f>
        <v>6.5</v>
      </c>
      <c r="I35" s="82">
        <f>IF(OR($H$6="",$H$7=""),"",IF($B35="","",IF(ISNA(VLOOKUP($B35,'LT01'!$B$11:$N$80,13,FALSE)),"",VLOOKUP($B35,'LT01'!$B$11:$N$80,13,FALSE))))</f>
        <v>6.6</v>
      </c>
      <c r="J35" s="83"/>
      <c r="K35" s="84" t="str">
        <f>IF(OR($H$6="",$H$7=""),"",IF($B35="","",IF(ISNA(VLOOKUP($B35,'LT01'!$B$11:$Q$80,16,FALSE)),"",IF(VLOOKUP($B35,'LT01'!$B$11:$Q$80,16,FALSE)="","",VLOOKUP($B35,'LT01'!$B$11:$Q$80,16,FALSE)))))</f>
        <v/>
      </c>
      <c r="L35" s="85">
        <f>IF(OR($L$6="",$L$7=""),"",IF($B35="","",IF(ISNA(VLOOKUP($B35,'LT02'!$B$11:$M$80,12,FALSE)),"",IF(VLOOKUP($B35,'LT02'!$B$11:$M$80,12,FALSE)="","",VLOOKUP($B35,'LT02'!$B$11:$M$80,12,FALSE)))))</f>
        <v>7.3</v>
      </c>
      <c r="M35" s="82">
        <f>IF(OR($L$6="",$L$7=""),"",IF($B35="","",IF(ISNA(VLOOKUP($B35,'LT02'!$B$11:$N$80,13,FALSE)),"",VLOOKUP($B35,'LT02'!$B$11:$N$80,13,FALSE))))</f>
        <v>7.7</v>
      </c>
      <c r="N35" s="83"/>
      <c r="O35" s="84" t="str">
        <f>IF(OR($L$6="",$L$7=""),"",IF($B35="","",IF(ISNA(VLOOKUP($B35,'LT02'!$B$11:$Q$80,16,FALSE)),"",VLOOKUP($B35,'LT02'!$B$11:$Q$80,16,FALSE))))</f>
        <v/>
      </c>
      <c r="P35" s="85">
        <f>IF(OR($P$6="",$P$7=""),"",IF($B35="","",IF(ISNA(VLOOKUP($B35,'LT03'!$B$11:$M$80,12,FALSE)),"",IF(VLOOKUP($B35,'LT03'!$B$11:$M$80,12,FALSE)="","",VLOOKUP($B35,'LT03'!$B$11:$M$80,12,FALSE)))))</f>
        <v>5.5</v>
      </c>
      <c r="Q35" s="82">
        <f>IF(OR($P$6="",$P$7=""),"",IF($B35="","",IF(ISNA(VLOOKUP($B35,'LT03'!$B$11:$N$80,13,FALSE)),"",VLOOKUP($B35,'LT03'!$B$11:$N$80,13,FALSE))))</f>
        <v>6</v>
      </c>
      <c r="R35" s="83"/>
      <c r="S35" s="84" t="str">
        <f>IF(OR($P$6="",$P$7=""),"",IF($B35="","",IF(ISNA(VLOOKUP($B35,'LT03'!$B$11:$Q$80,16,FALSE)),"",VLOOKUP($B35,'LT03'!$B$11:$Q$80,16,FALSE))))</f>
        <v/>
      </c>
      <c r="T35" s="85">
        <f>IF(OR($T$6="",$T$7=""),"",IF($B35="","",IF(ISNA(VLOOKUP($B35,'LT04'!$B$11:$M$80,12,FALSE)),"",IF(VLOOKUP($B35,'LT04'!$B$11:$M$80,12,FALSE)="","",VLOOKUP($B35,'LT04'!$B$11:$M$80,12,FALSE)))))</f>
        <v>8</v>
      </c>
      <c r="U35" s="82">
        <f>IF(OR($T$6="",$T$7=""),"",IF($B35="","",IF(ISNA(VLOOKUP($B35,'LT04'!$B$11:$N$80,13,FALSE)),"",VLOOKUP($B35,'LT04'!$B$11:$N$80,13,FALSE))))</f>
        <v>7.9</v>
      </c>
      <c r="V35" s="83"/>
      <c r="W35" s="84" t="str">
        <f>IF(OR($T$6="",$T$7=""),"",IF($B35="","",IF(ISNA(VLOOKUP($B35,'LT04'!$B$11:$Q$80,16,FALSE)),"",VLOOKUP($B35,'LT04'!$B$11:$Q$80,16,FALSE))))</f>
        <v/>
      </c>
      <c r="X35" s="85">
        <f>IF(OR($X$6="",$X$7=""),"",IF($B35="","",IF(ISNA(VLOOKUP($B35,'LT05'!$B$11:$M$80,12,FALSE)),"",IF(VLOOKUP($B35,'LT05'!$B$11:$M$80,12,FALSE)="","",VLOOKUP($B35,'LT05'!$B$11:$M$80,12,FALSE)))))</f>
        <v>5</v>
      </c>
      <c r="Y35" s="82">
        <f>IF(OR($X$6="",$X$7=""),"",IF($B35="","",IF(ISNA(VLOOKUP($B35,'LT05'!$B$11:$N$80,13,FALSE)),"",VLOOKUP($B35,'LT05'!$B$11:$N$80,13,FALSE))))</f>
        <v>6.1</v>
      </c>
      <c r="Z35" s="83"/>
      <c r="AA35" s="84" t="str">
        <f>IF(OR($X$6="",$X$7=""),"",IF($B35="","",IF(ISNA(VLOOKUP($B35,'LT05'!$B$11:$Q$80,16,FALSE)),"",VLOOKUP($B35,'LT05'!$B$11:$Q$80,16,FALSE))))</f>
        <v/>
      </c>
      <c r="AB35" s="85" t="str">
        <f>IF(OR($AB$6="",$AB$7=""),"",IF($B35="","",IF(ISNA(VLOOKUP($B35,'LT06'!$B$11:$M$80,12,FALSE)),"",IF(VLOOKUP($B35,'LT06'!$B$11:$M$80,12,FALSE)="","",VLOOKUP($B35,'LT06'!$B$11:$M$80,12,FALSE)))))</f>
        <v/>
      </c>
      <c r="AC35" s="82" t="str">
        <f>IF(OR($AB$6="",$AB$7=""),"",IF($B35="","",IF(ISNA(VLOOKUP($B35,'LT06'!$B$11:$N$80,13,FALSE)),"",VLOOKUP($B35,'LT06'!$B$11:$N$80,13,FALSE))))</f>
        <v/>
      </c>
      <c r="AD35" s="83"/>
      <c r="AE35" s="84" t="str">
        <f>IF(OR($AB$6="",$AB$7=""),"",IF($B35="","",IF(ISNA(VLOOKUP($B35,'LT06'!$B$11:$Q$80,16,FALSE)),"",VLOOKUP($B35,'LT06'!$B$11:$Q$80,16,FALSE))))</f>
        <v/>
      </c>
      <c r="AF35" s="85" t="str">
        <f>IF(OR($AF$6="",$AF$7=""),"",IF($B35="","",IF(ISNA(VLOOKUP($B35,'LT07'!$B$11:$M$80,12,FALSE)),"",IF(VLOOKUP($B35,'LT07'!$B$11:$M$80,12,FALSE)="","",VLOOKUP($B35,'LT07'!$B$11:$M$80,12,FALSE)))))</f>
        <v/>
      </c>
      <c r="AG35" s="82" t="str">
        <f>IF(OR($AF$6="",$AF$7=""),"",IF($B35="","",IF(ISNA(VLOOKUP($B35,'LT07'!$B$11:$N$80,13,FALSE)),"",VLOOKUP($B35,'LT07'!$B$11:$N$80,13,FALSE))))</f>
        <v/>
      </c>
      <c r="AH35" s="83"/>
      <c r="AI35" s="84" t="str">
        <f>IF(OR($AF$6="",$AF$7=""),"",IF($B35="","",IF(ISNA(VLOOKUP($B35,'LT07'!$B$11:$Q$80,16,FALSE)),"",VLOOKUP($B35,'LT07'!$B$11:$Q$80,16,FALSE))))</f>
        <v/>
      </c>
      <c r="AJ35" s="304"/>
      <c r="AK35" s="82" t="str">
        <f>IF(OR($AJ$6="",$AJ$7=""),"",IF($B35="","",IF(ISNA(VLOOKUP($B35,'DO AN'!$B$11:$L$80,11,FALSE)),"",IF(VLOOKUP($B35,'DO AN'!$B$11:$L$80,11,FALSE)="","",VLOOKUP($B35,'DO AN'!$B$11:$L$80,11,FALSE)))))</f>
        <v/>
      </c>
      <c r="AL35" s="83"/>
      <c r="AM35" s="451"/>
      <c r="AN35" s="83"/>
      <c r="AO35" s="82" t="str">
        <f>IF(OR($AN$6="",$AN$7=""),"",IF($B35="","",IF(ISNA(VLOOKUP($B35,'DO AN 2'!$B$11:$L$80,11,FALSE)),"",IF(VLOOKUP($B35,'DO AN 2'!$B$11:$L$80,11,FALSE)="","",VLOOKUP($B35,'DO AN 2'!$B$11:$L$80,11,FALSE)))))</f>
        <v/>
      </c>
      <c r="AP35" s="83"/>
      <c r="AQ35" s="83"/>
      <c r="AR35" s="454"/>
      <c r="AS35" s="82">
        <f>IF(OR($AR$6="",$AR$7=""),"",IF($B35="","",IF(ISNA(VLOOKUP($B35,'TH01'!$B$11:$O$80,14,FALSE)),"",VLOOKUP($B35,'TH01'!$B$11:$O$80,14,FALSE))))</f>
        <v>7.4</v>
      </c>
      <c r="AT35" s="83"/>
      <c r="AU35" s="303"/>
      <c r="AV35" s="304"/>
      <c r="AW35" s="82">
        <f>IF(OR($AV$6="",$AV$7=""),"",IF($B35="","",IF(ISNA(VLOOKUP($B35,'TH02'!$B$11:$O$80,14,FALSE)),"",VLOOKUP($B35,'TH02'!$B$11:$O$80,14,FALSE))))</f>
        <v>7</v>
      </c>
      <c r="AX35" s="83"/>
      <c r="AY35" s="303"/>
      <c r="AZ35" s="304"/>
      <c r="BA35" s="82">
        <f>IF(OR($AZ$6="",$AZ$7=""),"",IF($B35="","",IF(ISNA(VLOOKUP($B35,'TH03'!$B$11:$O$80,14,FALSE)),"",VLOOKUP($B35,'TH03'!$B$11:$O$80,14,FALSE))))</f>
        <v>7.3</v>
      </c>
      <c r="BB35" s="83"/>
      <c r="BC35" s="303"/>
      <c r="BD35" s="86">
        <f t="shared" si="11"/>
        <v>6.93</v>
      </c>
      <c r="BE35" s="86" t="str">
        <f t="shared" si="12"/>
        <v/>
      </c>
      <c r="BF35" s="87">
        <v>71</v>
      </c>
      <c r="BG35" s="88" t="str">
        <f t="shared" si="0"/>
        <v>T.Bình</v>
      </c>
      <c r="BH35" s="88" t="str">
        <f t="shared" si="1"/>
        <v/>
      </c>
      <c r="BI35" s="87"/>
      <c r="BJ35" s="86" t="str">
        <f t="shared" si="2"/>
        <v/>
      </c>
      <c r="BK35" s="265">
        <f t="shared" si="3"/>
        <v>18</v>
      </c>
      <c r="BL35" s="88">
        <f t="shared" si="4"/>
        <v>0</v>
      </c>
      <c r="BM35" s="88">
        <f t="shared" si="5"/>
        <v>18</v>
      </c>
      <c r="BN35" s="88">
        <f t="shared" si="6"/>
        <v>0</v>
      </c>
      <c r="BO35" s="86">
        <f t="shared" si="13"/>
        <v>6.93</v>
      </c>
      <c r="BP35" s="86" t="str">
        <f t="shared" si="7"/>
        <v>BT</v>
      </c>
      <c r="BQ35" s="86">
        <f t="shared" si="14"/>
        <v>6.93</v>
      </c>
      <c r="BR35" s="86" t="str">
        <f t="shared" si="8"/>
        <v>BT</v>
      </c>
      <c r="BS35" s="87"/>
      <c r="BT35" s="276">
        <f t="shared" si="15"/>
        <v>0</v>
      </c>
      <c r="BU35" s="238">
        <f t="shared" si="16"/>
        <v>6.5</v>
      </c>
      <c r="BV35" s="238">
        <f t="shared" si="17"/>
        <v>7.3</v>
      </c>
      <c r="BW35" s="238">
        <f t="shared" si="18"/>
        <v>5.5</v>
      </c>
      <c r="BX35" s="238">
        <f t="shared" si="19"/>
        <v>8</v>
      </c>
      <c r="BY35" s="238">
        <f t="shared" si="20"/>
        <v>5</v>
      </c>
      <c r="BZ35" s="238" t="str">
        <f t="shared" si="21"/>
        <v/>
      </c>
      <c r="CA35" s="238" t="str">
        <f t="shared" si="22"/>
        <v/>
      </c>
      <c r="CB35" s="238" t="str">
        <f t="shared" si="23"/>
        <v/>
      </c>
      <c r="CC35" s="238" t="str">
        <f t="shared" si="24"/>
        <v/>
      </c>
      <c r="CD35" s="238">
        <f t="shared" si="25"/>
        <v>7.4</v>
      </c>
      <c r="CE35" s="238">
        <f t="shared" si="26"/>
        <v>7</v>
      </c>
      <c r="CF35" s="238">
        <f t="shared" si="27"/>
        <v>7.3</v>
      </c>
      <c r="CG35" s="239">
        <f t="shared" si="28"/>
        <v>0</v>
      </c>
      <c r="CH35" s="238">
        <f t="shared" si="29"/>
        <v>6.6</v>
      </c>
      <c r="CI35" s="238">
        <f t="shared" si="30"/>
        <v>7.7</v>
      </c>
      <c r="CJ35" s="238">
        <f t="shared" si="31"/>
        <v>6</v>
      </c>
      <c r="CK35" s="238">
        <f t="shared" si="32"/>
        <v>7.9</v>
      </c>
      <c r="CL35" s="238">
        <f t="shared" si="33"/>
        <v>6.1</v>
      </c>
      <c r="CM35" s="238" t="str">
        <f t="shared" si="34"/>
        <v/>
      </c>
      <c r="CN35" s="238" t="str">
        <f t="shared" si="35"/>
        <v/>
      </c>
      <c r="CO35" s="238" t="str">
        <f t="shared" si="36"/>
        <v/>
      </c>
      <c r="CP35" s="238" t="str">
        <f t="shared" si="37"/>
        <v/>
      </c>
      <c r="CQ35" s="238">
        <f t="shared" si="38"/>
        <v>7.4</v>
      </c>
      <c r="CR35" s="238">
        <f t="shared" si="39"/>
        <v>7</v>
      </c>
      <c r="CS35" s="238">
        <f t="shared" si="40"/>
        <v>7.3</v>
      </c>
      <c r="CT35" s="240">
        <f t="shared" si="41"/>
        <v>6.93</v>
      </c>
      <c r="CU35" s="241">
        <f t="shared" si="42"/>
        <v>6.6</v>
      </c>
      <c r="CV35" s="241">
        <f t="shared" si="43"/>
        <v>7.7</v>
      </c>
      <c r="CW35" s="241">
        <f t="shared" si="44"/>
        <v>6</v>
      </c>
      <c r="CX35" s="241">
        <f t="shared" si="45"/>
        <v>7.9</v>
      </c>
      <c r="CY35" s="241">
        <f t="shared" si="46"/>
        <v>6.1</v>
      </c>
      <c r="CZ35" s="241" t="str">
        <f t="shared" si="47"/>
        <v/>
      </c>
      <c r="DA35" s="241" t="str">
        <f t="shared" si="48"/>
        <v/>
      </c>
      <c r="DB35" s="241" t="str">
        <f t="shared" si="49"/>
        <v/>
      </c>
      <c r="DC35" s="241" t="str">
        <f t="shared" si="50"/>
        <v/>
      </c>
      <c r="DD35" s="241">
        <f t="shared" si="51"/>
        <v>7.4</v>
      </c>
      <c r="DE35" s="241">
        <f t="shared" si="52"/>
        <v>7</v>
      </c>
      <c r="DF35" s="241">
        <f t="shared" si="53"/>
        <v>7.3</v>
      </c>
      <c r="DG35" s="242">
        <f t="shared" si="9"/>
        <v>6.93</v>
      </c>
      <c r="DH35" s="82" t="str">
        <f t="shared" si="54"/>
        <v/>
      </c>
      <c r="DI35" s="82" t="str">
        <f t="shared" si="55"/>
        <v/>
      </c>
      <c r="DJ35" s="82" t="str">
        <f t="shared" si="56"/>
        <v/>
      </c>
      <c r="DK35" s="82" t="str">
        <f t="shared" si="57"/>
        <v/>
      </c>
      <c r="DL35" s="82" t="str">
        <f t="shared" si="58"/>
        <v/>
      </c>
      <c r="DM35" s="82" t="str">
        <f t="shared" si="59"/>
        <v/>
      </c>
      <c r="DN35" s="82" t="str">
        <f t="shared" si="60"/>
        <v/>
      </c>
      <c r="DO35" s="82" t="str">
        <f t="shared" si="61"/>
        <v/>
      </c>
      <c r="DP35" s="82" t="str">
        <f t="shared" si="62"/>
        <v/>
      </c>
      <c r="DQ35" s="82" t="str">
        <f t="shared" si="63"/>
        <v/>
      </c>
      <c r="DR35" s="82" t="str">
        <f t="shared" si="64"/>
        <v/>
      </c>
      <c r="DS35" s="253" t="str">
        <f t="shared" si="65"/>
        <v/>
      </c>
      <c r="DT35" s="250">
        <f t="shared" si="66"/>
        <v>6.6</v>
      </c>
      <c r="DU35" s="238">
        <f t="shared" si="67"/>
        <v>7.7</v>
      </c>
      <c r="DV35" s="238">
        <f t="shared" si="68"/>
        <v>6</v>
      </c>
      <c r="DW35" s="238">
        <f t="shared" si="69"/>
        <v>7.9</v>
      </c>
      <c r="DX35" s="238">
        <f t="shared" si="70"/>
        <v>6.1</v>
      </c>
      <c r="DY35" s="238" t="str">
        <f t="shared" si="71"/>
        <v/>
      </c>
      <c r="DZ35" s="238" t="str">
        <f t="shared" si="72"/>
        <v/>
      </c>
      <c r="EA35" s="238" t="str">
        <f t="shared" si="73"/>
        <v/>
      </c>
      <c r="EB35" s="238" t="str">
        <f t="shared" si="74"/>
        <v/>
      </c>
      <c r="EC35" s="238">
        <f t="shared" si="75"/>
        <v>7.4</v>
      </c>
      <c r="ED35" s="238">
        <f t="shared" si="76"/>
        <v>7</v>
      </c>
      <c r="EE35" s="238">
        <f t="shared" si="77"/>
        <v>7.3</v>
      </c>
      <c r="EF35" s="255" t="str">
        <f t="shared" si="78"/>
        <v/>
      </c>
      <c r="EG35" s="257">
        <f t="shared" si="79"/>
        <v>6.6</v>
      </c>
      <c r="EH35" s="257">
        <f t="shared" si="80"/>
        <v>7.7</v>
      </c>
      <c r="EI35" s="257">
        <f t="shared" si="81"/>
        <v>6</v>
      </c>
      <c r="EJ35" s="257">
        <f t="shared" si="82"/>
        <v>7.9</v>
      </c>
      <c r="EK35" s="257">
        <f t="shared" si="83"/>
        <v>6.1</v>
      </c>
      <c r="EL35" s="257" t="str">
        <f t="shared" si="84"/>
        <v/>
      </c>
      <c r="EM35" s="257" t="str">
        <f t="shared" si="85"/>
        <v/>
      </c>
      <c r="EN35" s="257" t="str">
        <f t="shared" si="86"/>
        <v/>
      </c>
      <c r="EO35" s="257" t="str">
        <f t="shared" si="87"/>
        <v/>
      </c>
      <c r="EP35" s="257">
        <f t="shared" si="88"/>
        <v>7.4</v>
      </c>
      <c r="EQ35" s="257">
        <f t="shared" si="89"/>
        <v>7</v>
      </c>
      <c r="ER35" s="257">
        <f t="shared" si="90"/>
        <v>7.3</v>
      </c>
      <c r="ES35" s="262">
        <f t="shared" si="10"/>
        <v>6.93</v>
      </c>
      <c r="ET35" s="307">
        <f t="shared" si="91"/>
        <v>6.93</v>
      </c>
    </row>
    <row r="36" spans="1:150" s="89" customFormat="1" ht="30" customHeight="1">
      <c r="A36" s="272">
        <f>IF($B36="","",SUBTOTAL(3,$B$11:B36))</f>
        <v>26</v>
      </c>
      <c r="B36" s="457" t="s">
        <v>1827</v>
      </c>
      <c r="C36" s="76" t="str">
        <f>IF($B36="","",VLOOKUP($B36,'DS LOP HKI'!$B$2:$D$951,2,0))</f>
        <v>Trần Huy</v>
      </c>
      <c r="D36" s="77" t="str">
        <f>IF($B36="","",VLOOKUP($B36,'DS LOP HKI'!$B$2:$D$951,3,0))</f>
        <v>Hoàng</v>
      </c>
      <c r="E36" s="78"/>
      <c r="F36" s="79"/>
      <c r="G36" s="80">
        <v>6</v>
      </c>
      <c r="H36" s="81">
        <f>IF(OR($H$6="",$H$7=""),"",IF($B36="","",IF(ISNA(VLOOKUP($B36,'LT01'!$B$11:$M$80,12,FALSE)),"",IF(VLOOKUP($B36,'LT01'!$B$11:$M$80,12,FALSE)="","",VLOOKUP($B36,'LT01'!$B$11:$M$80,12,FALSE)))))</f>
        <v>8</v>
      </c>
      <c r="I36" s="82">
        <f>IF(OR($H$6="",$H$7=""),"",IF($B36="","",IF(ISNA(VLOOKUP($B36,'LT01'!$B$11:$N$80,13,FALSE)),"",VLOOKUP($B36,'LT01'!$B$11:$N$80,13,FALSE))))</f>
        <v>7.7</v>
      </c>
      <c r="J36" s="83"/>
      <c r="K36" s="84" t="str">
        <f>IF(OR($H$6="",$H$7=""),"",IF($B36="","",IF(ISNA(VLOOKUP($B36,'LT01'!$B$11:$Q$80,16,FALSE)),"",IF(VLOOKUP($B36,'LT01'!$B$11:$Q$80,16,FALSE)="","",VLOOKUP($B36,'LT01'!$B$11:$Q$80,16,FALSE)))))</f>
        <v/>
      </c>
      <c r="L36" s="85">
        <f>IF(OR($L$6="",$L$7=""),"",IF($B36="","",IF(ISNA(VLOOKUP($B36,'LT02'!$B$11:$M$80,12,FALSE)),"",IF(VLOOKUP($B36,'LT02'!$B$11:$M$80,12,FALSE)="","",VLOOKUP($B36,'LT02'!$B$11:$M$80,12,FALSE)))))</f>
        <v>5.3</v>
      </c>
      <c r="M36" s="82">
        <f>IF(OR($L$6="",$L$7=""),"",IF($B36="","",IF(ISNA(VLOOKUP($B36,'LT02'!$B$11:$N$80,13,FALSE)),"",VLOOKUP($B36,'LT02'!$B$11:$N$80,13,FALSE))))</f>
        <v>6.2</v>
      </c>
      <c r="N36" s="83"/>
      <c r="O36" s="84" t="str">
        <f>IF(OR($L$6="",$L$7=""),"",IF($B36="","",IF(ISNA(VLOOKUP($B36,'LT02'!$B$11:$Q$80,16,FALSE)),"",VLOOKUP($B36,'LT02'!$B$11:$Q$80,16,FALSE))))</f>
        <v/>
      </c>
      <c r="P36" s="85">
        <f>IF(OR($P$6="",$P$7=""),"",IF($B36="","",IF(ISNA(VLOOKUP($B36,'LT03'!$B$11:$M$80,12,FALSE)),"",IF(VLOOKUP($B36,'LT03'!$B$11:$M$80,12,FALSE)="","",VLOOKUP($B36,'LT03'!$B$11:$M$80,12,FALSE)))))</f>
        <v>5.3</v>
      </c>
      <c r="Q36" s="82">
        <f>IF(OR($P$6="",$P$7=""),"",IF($B36="","",IF(ISNA(VLOOKUP($B36,'LT03'!$B$11:$N$80,13,FALSE)),"",VLOOKUP($B36,'LT03'!$B$11:$N$80,13,FALSE))))</f>
        <v>5.4</v>
      </c>
      <c r="R36" s="83"/>
      <c r="S36" s="84" t="str">
        <f>IF(OR($P$6="",$P$7=""),"",IF($B36="","",IF(ISNA(VLOOKUP($B36,'LT03'!$B$11:$Q$80,16,FALSE)),"",VLOOKUP($B36,'LT03'!$B$11:$Q$80,16,FALSE))))</f>
        <v/>
      </c>
      <c r="T36" s="85">
        <f>IF(OR($T$6="",$T$7=""),"",IF($B36="","",IF(ISNA(VLOOKUP($B36,'LT04'!$B$11:$M$80,12,FALSE)),"",IF(VLOOKUP($B36,'LT04'!$B$11:$M$80,12,FALSE)="","",VLOOKUP($B36,'LT04'!$B$11:$M$80,12,FALSE)))))</f>
        <v>8</v>
      </c>
      <c r="U36" s="82">
        <f>IF(OR($T$6="",$T$7=""),"",IF($B36="","",IF(ISNA(VLOOKUP($B36,'LT04'!$B$11:$N$80,13,FALSE)),"",VLOOKUP($B36,'LT04'!$B$11:$N$80,13,FALSE))))</f>
        <v>8</v>
      </c>
      <c r="V36" s="83"/>
      <c r="W36" s="84" t="str">
        <f>IF(OR($T$6="",$T$7=""),"",IF($B36="","",IF(ISNA(VLOOKUP($B36,'LT04'!$B$11:$Q$80,16,FALSE)),"",VLOOKUP($B36,'LT04'!$B$11:$Q$80,16,FALSE))))</f>
        <v/>
      </c>
      <c r="X36" s="85">
        <f>IF(OR($X$6="",$X$7=""),"",IF($B36="","",IF(ISNA(VLOOKUP($B36,'LT05'!$B$11:$M$80,12,FALSE)),"",IF(VLOOKUP($B36,'LT05'!$B$11:$M$80,12,FALSE)="","",VLOOKUP($B36,'LT05'!$B$11:$M$80,12,FALSE)))))</f>
        <v>2.5</v>
      </c>
      <c r="Y36" s="82">
        <f>IF(OR($X$6="",$X$7=""),"",IF($B36="","",IF(ISNA(VLOOKUP($B36,'LT05'!$B$11:$N$80,13,FALSE)),"",VLOOKUP($B36,'LT05'!$B$11:$N$80,13,FALSE))))</f>
        <v>3.5</v>
      </c>
      <c r="Z36" s="83"/>
      <c r="AA36" s="84" t="str">
        <f>IF(OR($X$6="",$X$7=""),"",IF($B36="","",IF(ISNA(VLOOKUP($B36,'LT05'!$B$11:$Q$80,16,FALSE)),"",VLOOKUP($B36,'LT05'!$B$11:$Q$80,16,FALSE))))</f>
        <v/>
      </c>
      <c r="AB36" s="85" t="str">
        <f>IF(OR($AB$6="",$AB$7=""),"",IF($B36="","",IF(ISNA(VLOOKUP($B36,'LT06'!$B$11:$M$80,12,FALSE)),"",IF(VLOOKUP($B36,'LT06'!$B$11:$M$80,12,FALSE)="","",VLOOKUP($B36,'LT06'!$B$11:$M$80,12,FALSE)))))</f>
        <v/>
      </c>
      <c r="AC36" s="82" t="str">
        <f>IF(OR($AB$6="",$AB$7=""),"",IF($B36="","",IF(ISNA(VLOOKUP($B36,'LT06'!$B$11:$N$80,13,FALSE)),"",VLOOKUP($B36,'LT06'!$B$11:$N$80,13,FALSE))))</f>
        <v/>
      </c>
      <c r="AD36" s="83"/>
      <c r="AE36" s="84" t="str">
        <f>IF(OR($AB$6="",$AB$7=""),"",IF($B36="","",IF(ISNA(VLOOKUP($B36,'LT06'!$B$11:$Q$80,16,FALSE)),"",VLOOKUP($B36,'LT06'!$B$11:$Q$80,16,FALSE))))</f>
        <v/>
      </c>
      <c r="AF36" s="85" t="str">
        <f>IF(OR($AF$6="",$AF$7=""),"",IF($B36="","",IF(ISNA(VLOOKUP($B36,'LT07'!$B$11:$M$80,12,FALSE)),"",IF(VLOOKUP($B36,'LT07'!$B$11:$M$80,12,FALSE)="","",VLOOKUP($B36,'LT07'!$B$11:$M$80,12,FALSE)))))</f>
        <v/>
      </c>
      <c r="AG36" s="82" t="str">
        <f>IF(OR($AF$6="",$AF$7=""),"",IF($B36="","",IF(ISNA(VLOOKUP($B36,'LT07'!$B$11:$N$80,13,FALSE)),"",VLOOKUP($B36,'LT07'!$B$11:$N$80,13,FALSE))))</f>
        <v/>
      </c>
      <c r="AH36" s="83"/>
      <c r="AI36" s="84" t="str">
        <f>IF(OR($AF$6="",$AF$7=""),"",IF($B36="","",IF(ISNA(VLOOKUP($B36,'LT07'!$B$11:$Q$80,16,FALSE)),"",VLOOKUP($B36,'LT07'!$B$11:$Q$80,16,FALSE))))</f>
        <v/>
      </c>
      <c r="AJ36" s="304"/>
      <c r="AK36" s="82" t="str">
        <f>IF(OR($AJ$6="",$AJ$7=""),"",IF($B36="","",IF(ISNA(VLOOKUP($B36,'DO AN'!$B$11:$L$80,11,FALSE)),"",IF(VLOOKUP($B36,'DO AN'!$B$11:$L$80,11,FALSE)="","",VLOOKUP($B36,'DO AN'!$B$11:$L$80,11,FALSE)))))</f>
        <v/>
      </c>
      <c r="AL36" s="83"/>
      <c r="AM36" s="451"/>
      <c r="AN36" s="83"/>
      <c r="AO36" s="82" t="str">
        <f>IF(OR($AN$6="",$AN$7=""),"",IF($B36="","",IF(ISNA(VLOOKUP($B36,'DO AN 2'!$B$11:$L$80,11,FALSE)),"",IF(VLOOKUP($B36,'DO AN 2'!$B$11:$L$80,11,FALSE)="","",VLOOKUP($B36,'DO AN 2'!$B$11:$L$80,11,FALSE)))))</f>
        <v/>
      </c>
      <c r="AP36" s="83"/>
      <c r="AQ36" s="83"/>
      <c r="AR36" s="454"/>
      <c r="AS36" s="82">
        <f>IF(OR($AR$6="",$AR$7=""),"",IF($B36="","",IF(ISNA(VLOOKUP($B36,'TH01'!$B$11:$O$80,14,FALSE)),"",VLOOKUP($B36,'TH01'!$B$11:$O$80,14,FALSE))))</f>
        <v>7.2</v>
      </c>
      <c r="AT36" s="83"/>
      <c r="AU36" s="303"/>
      <c r="AV36" s="304"/>
      <c r="AW36" s="82">
        <f>IF(OR($AV$6="",$AV$7=""),"",IF($B36="","",IF(ISNA(VLOOKUP($B36,'TH02'!$B$11:$O$80,14,FALSE)),"",VLOOKUP($B36,'TH02'!$B$11:$O$80,14,FALSE))))</f>
        <v>5.3</v>
      </c>
      <c r="AX36" s="83"/>
      <c r="AY36" s="303"/>
      <c r="AZ36" s="304"/>
      <c r="BA36" s="82">
        <f>IF(OR($AZ$6="",$AZ$7=""),"",IF($B36="","",IF(ISNA(VLOOKUP($B36,'TH03'!$B$11:$O$80,14,FALSE)),"",VLOOKUP($B36,'TH03'!$B$11:$O$80,14,FALSE))))</f>
        <v>7</v>
      </c>
      <c r="BB36" s="83"/>
      <c r="BC36" s="303"/>
      <c r="BD36" s="86">
        <f t="shared" si="11"/>
        <v>6.21</v>
      </c>
      <c r="BE36" s="86" t="str">
        <f t="shared" si="12"/>
        <v/>
      </c>
      <c r="BF36" s="87">
        <v>58</v>
      </c>
      <c r="BG36" s="88" t="str">
        <f t="shared" si="0"/>
        <v>T.Bình</v>
      </c>
      <c r="BH36" s="88" t="str">
        <f t="shared" si="1"/>
        <v/>
      </c>
      <c r="BI36" s="87"/>
      <c r="BJ36" s="86" t="str">
        <f t="shared" si="2"/>
        <v/>
      </c>
      <c r="BK36" s="265">
        <f t="shared" si="3"/>
        <v>15</v>
      </c>
      <c r="BL36" s="88">
        <f t="shared" si="4"/>
        <v>3</v>
      </c>
      <c r="BM36" s="88">
        <f t="shared" si="5"/>
        <v>15</v>
      </c>
      <c r="BN36" s="88">
        <f t="shared" si="6"/>
        <v>3</v>
      </c>
      <c r="BO36" s="86">
        <f t="shared" si="13"/>
        <v>6.75</v>
      </c>
      <c r="BP36" s="86" t="str">
        <f t="shared" si="7"/>
        <v>BT</v>
      </c>
      <c r="BQ36" s="86">
        <f t="shared" si="14"/>
        <v>6.75</v>
      </c>
      <c r="BR36" s="86" t="str">
        <f t="shared" si="8"/>
        <v>BT</v>
      </c>
      <c r="BS36" s="87"/>
      <c r="BT36" s="276">
        <f t="shared" si="15"/>
        <v>1</v>
      </c>
      <c r="BU36" s="238">
        <f t="shared" si="16"/>
        <v>8</v>
      </c>
      <c r="BV36" s="238">
        <f t="shared" si="17"/>
        <v>5.3</v>
      </c>
      <c r="BW36" s="238">
        <f t="shared" si="18"/>
        <v>5.3</v>
      </c>
      <c r="BX36" s="238">
        <f t="shared" si="19"/>
        <v>8</v>
      </c>
      <c r="BY36" s="238">
        <f t="shared" si="20"/>
        <v>2.5</v>
      </c>
      <c r="BZ36" s="238" t="str">
        <f t="shared" si="21"/>
        <v/>
      </c>
      <c r="CA36" s="238" t="str">
        <f t="shared" si="22"/>
        <v/>
      </c>
      <c r="CB36" s="238" t="str">
        <f t="shared" si="23"/>
        <v/>
      </c>
      <c r="CC36" s="238" t="str">
        <f t="shared" si="24"/>
        <v/>
      </c>
      <c r="CD36" s="238">
        <f t="shared" si="25"/>
        <v>7.2</v>
      </c>
      <c r="CE36" s="238">
        <f t="shared" si="26"/>
        <v>5.3</v>
      </c>
      <c r="CF36" s="238">
        <f t="shared" si="27"/>
        <v>7</v>
      </c>
      <c r="CG36" s="239">
        <f t="shared" si="28"/>
        <v>1</v>
      </c>
      <c r="CH36" s="238">
        <f t="shared" si="29"/>
        <v>7.7</v>
      </c>
      <c r="CI36" s="238">
        <f t="shared" si="30"/>
        <v>6.2</v>
      </c>
      <c r="CJ36" s="238">
        <f t="shared" si="31"/>
        <v>5.4</v>
      </c>
      <c r="CK36" s="238">
        <f t="shared" si="32"/>
        <v>8</v>
      </c>
      <c r="CL36" s="238">
        <f t="shared" si="33"/>
        <v>3.5</v>
      </c>
      <c r="CM36" s="238" t="str">
        <f t="shared" si="34"/>
        <v/>
      </c>
      <c r="CN36" s="238" t="str">
        <f t="shared" si="35"/>
        <v/>
      </c>
      <c r="CO36" s="238" t="str">
        <f t="shared" si="36"/>
        <v/>
      </c>
      <c r="CP36" s="238" t="str">
        <f t="shared" si="37"/>
        <v/>
      </c>
      <c r="CQ36" s="238">
        <f t="shared" si="38"/>
        <v>7.2</v>
      </c>
      <c r="CR36" s="238">
        <f t="shared" si="39"/>
        <v>5.3</v>
      </c>
      <c r="CS36" s="238">
        <f t="shared" si="40"/>
        <v>7</v>
      </c>
      <c r="CT36" s="240">
        <f t="shared" si="41"/>
        <v>6.21</v>
      </c>
      <c r="CU36" s="241">
        <f t="shared" si="42"/>
        <v>7.7</v>
      </c>
      <c r="CV36" s="241">
        <f t="shared" si="43"/>
        <v>6.2</v>
      </c>
      <c r="CW36" s="241">
        <f t="shared" si="44"/>
        <v>5.4</v>
      </c>
      <c r="CX36" s="241">
        <f t="shared" si="45"/>
        <v>8</v>
      </c>
      <c r="CY36" s="241" t="str">
        <f t="shared" si="46"/>
        <v/>
      </c>
      <c r="CZ36" s="241" t="str">
        <f t="shared" si="47"/>
        <v/>
      </c>
      <c r="DA36" s="241" t="str">
        <f t="shared" si="48"/>
        <v/>
      </c>
      <c r="DB36" s="241" t="str">
        <f t="shared" si="49"/>
        <v/>
      </c>
      <c r="DC36" s="241" t="str">
        <f t="shared" si="50"/>
        <v/>
      </c>
      <c r="DD36" s="241">
        <f t="shared" si="51"/>
        <v>7.2</v>
      </c>
      <c r="DE36" s="241">
        <f t="shared" si="52"/>
        <v>5.3</v>
      </c>
      <c r="DF36" s="241">
        <f t="shared" si="53"/>
        <v>7</v>
      </c>
      <c r="DG36" s="242">
        <f t="shared" si="9"/>
        <v>6.75</v>
      </c>
      <c r="DH36" s="82" t="str">
        <f t="shared" si="54"/>
        <v/>
      </c>
      <c r="DI36" s="82" t="str">
        <f t="shared" si="55"/>
        <v/>
      </c>
      <c r="DJ36" s="82" t="str">
        <f t="shared" si="56"/>
        <v/>
      </c>
      <c r="DK36" s="82" t="str">
        <f t="shared" si="57"/>
        <v/>
      </c>
      <c r="DL36" s="82" t="str">
        <f t="shared" si="58"/>
        <v/>
      </c>
      <c r="DM36" s="82" t="str">
        <f t="shared" si="59"/>
        <v/>
      </c>
      <c r="DN36" s="82" t="str">
        <f t="shared" si="60"/>
        <v/>
      </c>
      <c r="DO36" s="82" t="str">
        <f t="shared" si="61"/>
        <v/>
      </c>
      <c r="DP36" s="82" t="str">
        <f t="shared" si="62"/>
        <v/>
      </c>
      <c r="DQ36" s="82" t="str">
        <f t="shared" si="63"/>
        <v/>
      </c>
      <c r="DR36" s="82" t="str">
        <f t="shared" si="64"/>
        <v/>
      </c>
      <c r="DS36" s="253" t="str">
        <f t="shared" si="65"/>
        <v/>
      </c>
      <c r="DT36" s="250">
        <f t="shared" si="66"/>
        <v>7.7</v>
      </c>
      <c r="DU36" s="238">
        <f t="shared" si="67"/>
        <v>6.2</v>
      </c>
      <c r="DV36" s="238">
        <f t="shared" si="68"/>
        <v>5.4</v>
      </c>
      <c r="DW36" s="238">
        <f t="shared" si="69"/>
        <v>8</v>
      </c>
      <c r="DX36" s="238">
        <f t="shared" si="70"/>
        <v>3.5</v>
      </c>
      <c r="DY36" s="238" t="str">
        <f t="shared" si="71"/>
        <v/>
      </c>
      <c r="DZ36" s="238" t="str">
        <f t="shared" si="72"/>
        <v/>
      </c>
      <c r="EA36" s="238" t="str">
        <f t="shared" si="73"/>
        <v/>
      </c>
      <c r="EB36" s="238" t="str">
        <f t="shared" si="74"/>
        <v/>
      </c>
      <c r="EC36" s="238">
        <f t="shared" si="75"/>
        <v>7.2</v>
      </c>
      <c r="ED36" s="238">
        <f t="shared" si="76"/>
        <v>5.3</v>
      </c>
      <c r="EE36" s="238">
        <f t="shared" si="77"/>
        <v>7</v>
      </c>
      <c r="EF36" s="255" t="str">
        <f t="shared" si="78"/>
        <v/>
      </c>
      <c r="EG36" s="257">
        <f t="shared" si="79"/>
        <v>7.7</v>
      </c>
      <c r="EH36" s="257">
        <f t="shared" si="80"/>
        <v>6.2</v>
      </c>
      <c r="EI36" s="257">
        <f t="shared" si="81"/>
        <v>5.4</v>
      </c>
      <c r="EJ36" s="257">
        <f t="shared" si="82"/>
        <v>8</v>
      </c>
      <c r="EK36" s="257" t="str">
        <f t="shared" si="83"/>
        <v/>
      </c>
      <c r="EL36" s="257" t="str">
        <f t="shared" si="84"/>
        <v/>
      </c>
      <c r="EM36" s="257" t="str">
        <f t="shared" si="85"/>
        <v/>
      </c>
      <c r="EN36" s="257" t="str">
        <f t="shared" si="86"/>
        <v/>
      </c>
      <c r="EO36" s="257" t="str">
        <f t="shared" si="87"/>
        <v/>
      </c>
      <c r="EP36" s="257">
        <f t="shared" si="88"/>
        <v>7.2</v>
      </c>
      <c r="EQ36" s="257">
        <f t="shared" si="89"/>
        <v>5.3</v>
      </c>
      <c r="ER36" s="257">
        <f t="shared" si="90"/>
        <v>7</v>
      </c>
      <c r="ES36" s="262">
        <f t="shared" si="10"/>
        <v>6.75</v>
      </c>
      <c r="ET36" s="307">
        <f t="shared" si="91"/>
        <v>6.21</v>
      </c>
    </row>
    <row r="37" spans="1:150" s="89" customFormat="1" ht="30" customHeight="1">
      <c r="A37" s="272">
        <f>IF($B37="","",SUBTOTAL(3,$B$11:B37))</f>
        <v>27</v>
      </c>
      <c r="B37" s="457" t="s">
        <v>1574</v>
      </c>
      <c r="C37" s="76" t="str">
        <f>IF($B37="","",VLOOKUP($B37,'DS LOP HKI'!$B$2:$D$951,2,0))</f>
        <v>Trịnh Thanh</v>
      </c>
      <c r="D37" s="77" t="str">
        <f>IF($B37="","",VLOOKUP($B37,'DS LOP HKI'!$B$2:$D$951,3,0))</f>
        <v>Hoàng</v>
      </c>
      <c r="E37" s="78"/>
      <c r="F37" s="79"/>
      <c r="G37" s="80"/>
      <c r="H37" s="81">
        <f>IF(OR($H$6="",$H$7=""),"",IF($B37="","",IF(ISNA(VLOOKUP($B37,'LT01'!$B$11:$M$80,12,FALSE)),"",IF(VLOOKUP($B37,'LT01'!$B$11:$M$80,12,FALSE)="","",VLOOKUP($B37,'LT01'!$B$11:$M$80,12,FALSE)))))</f>
        <v>8</v>
      </c>
      <c r="I37" s="82">
        <f>IF(OR($H$6="",$H$7=""),"",IF($B37="","",IF(ISNA(VLOOKUP($B37,'LT01'!$B$11:$N$80,13,FALSE)),"",VLOOKUP($B37,'LT01'!$B$11:$N$80,13,FALSE))))</f>
        <v>7.9</v>
      </c>
      <c r="J37" s="83"/>
      <c r="K37" s="84" t="str">
        <f>IF(OR($H$6="",$H$7=""),"",IF($B37="","",IF(ISNA(VLOOKUP($B37,'LT01'!$B$11:$Q$80,16,FALSE)),"",IF(VLOOKUP($B37,'LT01'!$B$11:$Q$80,16,FALSE)="","",VLOOKUP($B37,'LT01'!$B$11:$Q$80,16,FALSE)))))</f>
        <v/>
      </c>
      <c r="L37" s="85">
        <f>IF(OR($L$6="",$L$7=""),"",IF($B37="","",IF(ISNA(VLOOKUP($B37,'LT02'!$B$11:$M$80,12,FALSE)),"",IF(VLOOKUP($B37,'LT02'!$B$11:$M$80,12,FALSE)="","",VLOOKUP($B37,'LT02'!$B$11:$M$80,12,FALSE)))))</f>
        <v>7</v>
      </c>
      <c r="M37" s="82">
        <f>IF(OR($L$6="",$L$7=""),"",IF($B37="","",IF(ISNA(VLOOKUP($B37,'LT02'!$B$11:$N$80,13,FALSE)),"",VLOOKUP($B37,'LT02'!$B$11:$N$80,13,FALSE))))</f>
        <v>7</v>
      </c>
      <c r="N37" s="83"/>
      <c r="O37" s="84" t="str">
        <f>IF(OR($L$6="",$L$7=""),"",IF($B37="","",IF(ISNA(VLOOKUP($B37,'LT02'!$B$11:$Q$80,16,FALSE)),"",VLOOKUP($B37,'LT02'!$B$11:$Q$80,16,FALSE))))</f>
        <v/>
      </c>
      <c r="P37" s="85">
        <f>IF(OR($P$6="",$P$7=""),"",IF($B37="","",IF(ISNA(VLOOKUP($B37,'LT03'!$B$11:$M$80,12,FALSE)),"",IF(VLOOKUP($B37,'LT03'!$B$11:$M$80,12,FALSE)="","",VLOOKUP($B37,'LT03'!$B$11:$M$80,12,FALSE)))))</f>
        <v>5.3</v>
      </c>
      <c r="Q37" s="82">
        <f>IF(OR($P$6="",$P$7=""),"",IF($B37="","",IF(ISNA(VLOOKUP($B37,'LT03'!$B$11:$N$80,13,FALSE)),"",VLOOKUP($B37,'LT03'!$B$11:$N$80,13,FALSE))))</f>
        <v>5.9</v>
      </c>
      <c r="R37" s="83"/>
      <c r="S37" s="84" t="str">
        <f>IF(OR($P$6="",$P$7=""),"",IF($B37="","",IF(ISNA(VLOOKUP($B37,'LT03'!$B$11:$Q$80,16,FALSE)),"",VLOOKUP($B37,'LT03'!$B$11:$Q$80,16,FALSE))))</f>
        <v/>
      </c>
      <c r="T37" s="85">
        <f>IF(OR($T$6="",$T$7=""),"",IF($B37="","",IF(ISNA(VLOOKUP($B37,'LT04'!$B$11:$M$80,12,FALSE)),"",IF(VLOOKUP($B37,'LT04'!$B$11:$M$80,12,FALSE)="","",VLOOKUP($B37,'LT04'!$B$11:$M$80,12,FALSE)))))</f>
        <v>8.5</v>
      </c>
      <c r="U37" s="82">
        <f>IF(OR($T$6="",$T$7=""),"",IF($B37="","",IF(ISNA(VLOOKUP($B37,'LT04'!$B$11:$N$80,13,FALSE)),"",VLOOKUP($B37,'LT04'!$B$11:$N$80,13,FALSE))))</f>
        <v>8.1999999999999993</v>
      </c>
      <c r="V37" s="83"/>
      <c r="W37" s="84" t="str">
        <f>IF(OR($T$6="",$T$7=""),"",IF($B37="","",IF(ISNA(VLOOKUP($B37,'LT04'!$B$11:$Q$80,16,FALSE)),"",VLOOKUP($B37,'LT04'!$B$11:$Q$80,16,FALSE))))</f>
        <v/>
      </c>
      <c r="X37" s="85">
        <f>IF(OR($X$6="",$X$7=""),"",IF($B37="","",IF(ISNA(VLOOKUP($B37,'LT05'!$B$11:$M$80,12,FALSE)),"",IF(VLOOKUP($B37,'LT05'!$B$11:$M$80,12,FALSE)="","",VLOOKUP($B37,'LT05'!$B$11:$M$80,12,FALSE)))))</f>
        <v>3.8</v>
      </c>
      <c r="Y37" s="82">
        <f>IF(OR($X$6="",$X$7=""),"",IF($B37="","",IF(ISNA(VLOOKUP($B37,'LT05'!$B$11:$N$80,13,FALSE)),"",VLOOKUP($B37,'LT05'!$B$11:$N$80,13,FALSE))))</f>
        <v>4.8</v>
      </c>
      <c r="Z37" s="83"/>
      <c r="AA37" s="84" t="str">
        <f>IF(OR($X$6="",$X$7=""),"",IF($B37="","",IF(ISNA(VLOOKUP($B37,'LT05'!$B$11:$Q$80,16,FALSE)),"",VLOOKUP($B37,'LT05'!$B$11:$Q$80,16,FALSE))))</f>
        <v/>
      </c>
      <c r="AB37" s="85" t="str">
        <f>IF(OR($AB$6="",$AB$7=""),"",IF($B37="","",IF(ISNA(VLOOKUP($B37,'LT06'!$B$11:$M$80,12,FALSE)),"",IF(VLOOKUP($B37,'LT06'!$B$11:$M$80,12,FALSE)="","",VLOOKUP($B37,'LT06'!$B$11:$M$80,12,FALSE)))))</f>
        <v/>
      </c>
      <c r="AC37" s="82" t="str">
        <f>IF(OR($AB$6="",$AB$7=""),"",IF($B37="","",IF(ISNA(VLOOKUP($B37,'LT06'!$B$11:$N$80,13,FALSE)),"",VLOOKUP($B37,'LT06'!$B$11:$N$80,13,FALSE))))</f>
        <v/>
      </c>
      <c r="AD37" s="83"/>
      <c r="AE37" s="84" t="str">
        <f>IF(OR($AB$6="",$AB$7=""),"",IF($B37="","",IF(ISNA(VLOOKUP($B37,'LT06'!$B$11:$Q$80,16,FALSE)),"",VLOOKUP($B37,'LT06'!$B$11:$Q$80,16,FALSE))))</f>
        <v/>
      </c>
      <c r="AF37" s="85" t="str">
        <f>IF(OR($AF$6="",$AF$7=""),"",IF($B37="","",IF(ISNA(VLOOKUP($B37,'LT07'!$B$11:$M$80,12,FALSE)),"",IF(VLOOKUP($B37,'LT07'!$B$11:$M$80,12,FALSE)="","",VLOOKUP($B37,'LT07'!$B$11:$M$80,12,FALSE)))))</f>
        <v/>
      </c>
      <c r="AG37" s="82" t="str">
        <f>IF(OR($AF$6="",$AF$7=""),"",IF($B37="","",IF(ISNA(VLOOKUP($B37,'LT07'!$B$11:$N$80,13,FALSE)),"",VLOOKUP($B37,'LT07'!$B$11:$N$80,13,FALSE))))</f>
        <v/>
      </c>
      <c r="AH37" s="83"/>
      <c r="AI37" s="84" t="str">
        <f>IF(OR($AF$6="",$AF$7=""),"",IF($B37="","",IF(ISNA(VLOOKUP($B37,'LT07'!$B$11:$Q$80,16,FALSE)),"",VLOOKUP($B37,'LT07'!$B$11:$Q$80,16,FALSE))))</f>
        <v/>
      </c>
      <c r="AJ37" s="304"/>
      <c r="AK37" s="82" t="str">
        <f>IF(OR($AJ$6="",$AJ$7=""),"",IF($B37="","",IF(ISNA(VLOOKUP($B37,'DO AN'!$B$11:$L$80,11,FALSE)),"",IF(VLOOKUP($B37,'DO AN'!$B$11:$L$80,11,FALSE)="","",VLOOKUP($B37,'DO AN'!$B$11:$L$80,11,FALSE)))))</f>
        <v/>
      </c>
      <c r="AL37" s="83"/>
      <c r="AM37" s="451"/>
      <c r="AN37" s="83"/>
      <c r="AO37" s="82" t="str">
        <f>IF(OR($AN$6="",$AN$7=""),"",IF($B37="","",IF(ISNA(VLOOKUP($B37,'DO AN 2'!$B$11:$L$80,11,FALSE)),"",IF(VLOOKUP($B37,'DO AN 2'!$B$11:$L$80,11,FALSE)="","",VLOOKUP($B37,'DO AN 2'!$B$11:$L$80,11,FALSE)))))</f>
        <v/>
      </c>
      <c r="AP37" s="83"/>
      <c r="AQ37" s="83"/>
      <c r="AR37" s="454"/>
      <c r="AS37" s="82">
        <f>IF(OR($AR$6="",$AR$7=""),"",IF($B37="","",IF(ISNA(VLOOKUP($B37,'TH01'!$B$11:$O$80,14,FALSE)),"",VLOOKUP($B37,'TH01'!$B$11:$O$80,14,FALSE))))</f>
        <v>5</v>
      </c>
      <c r="AT37" s="83"/>
      <c r="AU37" s="303"/>
      <c r="AV37" s="304"/>
      <c r="AW37" s="82">
        <f>IF(OR($AV$6="",$AV$7=""),"",IF($B37="","",IF(ISNA(VLOOKUP($B37,'TH02'!$B$11:$O$80,14,FALSE)),"",VLOOKUP($B37,'TH02'!$B$11:$O$80,14,FALSE))))</f>
        <v>5.3</v>
      </c>
      <c r="AX37" s="83"/>
      <c r="AY37" s="303"/>
      <c r="AZ37" s="304"/>
      <c r="BA37" s="82">
        <f>IF(OR($AZ$6="",$AZ$7=""),"",IF($B37="","",IF(ISNA(VLOOKUP($B37,'TH03'!$B$11:$O$80,14,FALSE)),"",VLOOKUP($B37,'TH03'!$B$11:$O$80,14,FALSE))))</f>
        <v>8.3000000000000007</v>
      </c>
      <c r="BB37" s="83"/>
      <c r="BC37" s="303"/>
      <c r="BD37" s="86">
        <f t="shared" si="11"/>
        <v>6.53</v>
      </c>
      <c r="BE37" s="86" t="str">
        <f t="shared" si="12"/>
        <v/>
      </c>
      <c r="BF37" s="87">
        <v>65</v>
      </c>
      <c r="BG37" s="88" t="str">
        <f t="shared" si="0"/>
        <v>T.Bình</v>
      </c>
      <c r="BH37" s="88" t="str">
        <f t="shared" si="1"/>
        <v/>
      </c>
      <c r="BI37" s="87"/>
      <c r="BJ37" s="86" t="str">
        <f t="shared" si="2"/>
        <v/>
      </c>
      <c r="BK37" s="265">
        <f t="shared" si="3"/>
        <v>18</v>
      </c>
      <c r="BL37" s="88">
        <f t="shared" si="4"/>
        <v>0</v>
      </c>
      <c r="BM37" s="88">
        <f t="shared" si="5"/>
        <v>18</v>
      </c>
      <c r="BN37" s="88">
        <f t="shared" si="6"/>
        <v>0</v>
      </c>
      <c r="BO37" s="86">
        <f t="shared" si="13"/>
        <v>6.53</v>
      </c>
      <c r="BP37" s="86" t="str">
        <f t="shared" si="7"/>
        <v>BT</v>
      </c>
      <c r="BQ37" s="86">
        <f t="shared" si="14"/>
        <v>6.53</v>
      </c>
      <c r="BR37" s="86" t="str">
        <f t="shared" si="8"/>
        <v>BT</v>
      </c>
      <c r="BS37" s="87"/>
      <c r="BT37" s="276">
        <f t="shared" si="15"/>
        <v>1</v>
      </c>
      <c r="BU37" s="238">
        <f t="shared" si="16"/>
        <v>8</v>
      </c>
      <c r="BV37" s="238">
        <f t="shared" si="17"/>
        <v>7</v>
      </c>
      <c r="BW37" s="238">
        <f t="shared" si="18"/>
        <v>5.3</v>
      </c>
      <c r="BX37" s="238">
        <f t="shared" si="19"/>
        <v>8.5</v>
      </c>
      <c r="BY37" s="238">
        <f t="shared" si="20"/>
        <v>3.8</v>
      </c>
      <c r="BZ37" s="238" t="str">
        <f t="shared" si="21"/>
        <v/>
      </c>
      <c r="CA37" s="238" t="str">
        <f t="shared" si="22"/>
        <v/>
      </c>
      <c r="CB37" s="238" t="str">
        <f t="shared" si="23"/>
        <v/>
      </c>
      <c r="CC37" s="238" t="str">
        <f t="shared" si="24"/>
        <v/>
      </c>
      <c r="CD37" s="238">
        <f t="shared" si="25"/>
        <v>5</v>
      </c>
      <c r="CE37" s="238">
        <f t="shared" si="26"/>
        <v>5.3</v>
      </c>
      <c r="CF37" s="238">
        <f t="shared" si="27"/>
        <v>8.3000000000000007</v>
      </c>
      <c r="CG37" s="239">
        <f t="shared" si="28"/>
        <v>0</v>
      </c>
      <c r="CH37" s="238">
        <f t="shared" si="29"/>
        <v>7.9</v>
      </c>
      <c r="CI37" s="238">
        <f t="shared" si="30"/>
        <v>7</v>
      </c>
      <c r="CJ37" s="238">
        <f t="shared" si="31"/>
        <v>5.9</v>
      </c>
      <c r="CK37" s="238">
        <f t="shared" si="32"/>
        <v>8.1999999999999993</v>
      </c>
      <c r="CL37" s="238">
        <f t="shared" si="33"/>
        <v>4.8</v>
      </c>
      <c r="CM37" s="238" t="str">
        <f t="shared" si="34"/>
        <v/>
      </c>
      <c r="CN37" s="238" t="str">
        <f t="shared" si="35"/>
        <v/>
      </c>
      <c r="CO37" s="238" t="str">
        <f t="shared" si="36"/>
        <v/>
      </c>
      <c r="CP37" s="238" t="str">
        <f t="shared" si="37"/>
        <v/>
      </c>
      <c r="CQ37" s="238">
        <f t="shared" si="38"/>
        <v>5</v>
      </c>
      <c r="CR37" s="238">
        <f t="shared" si="39"/>
        <v>5.3</v>
      </c>
      <c r="CS37" s="238">
        <f t="shared" si="40"/>
        <v>8.3000000000000007</v>
      </c>
      <c r="CT37" s="240">
        <f t="shared" si="41"/>
        <v>6.53</v>
      </c>
      <c r="CU37" s="241">
        <f t="shared" si="42"/>
        <v>7.9</v>
      </c>
      <c r="CV37" s="241">
        <f t="shared" si="43"/>
        <v>7</v>
      </c>
      <c r="CW37" s="241">
        <f t="shared" si="44"/>
        <v>5.9</v>
      </c>
      <c r="CX37" s="241">
        <f t="shared" si="45"/>
        <v>8.1999999999999993</v>
      </c>
      <c r="CY37" s="241">
        <f t="shared" si="46"/>
        <v>4.8</v>
      </c>
      <c r="CZ37" s="241" t="str">
        <f t="shared" si="47"/>
        <v/>
      </c>
      <c r="DA37" s="241" t="str">
        <f t="shared" si="48"/>
        <v/>
      </c>
      <c r="DB37" s="241" t="str">
        <f t="shared" si="49"/>
        <v/>
      </c>
      <c r="DC37" s="241" t="str">
        <f t="shared" si="50"/>
        <v/>
      </c>
      <c r="DD37" s="241">
        <f t="shared" si="51"/>
        <v>5</v>
      </c>
      <c r="DE37" s="241">
        <f t="shared" si="52"/>
        <v>5.3</v>
      </c>
      <c r="DF37" s="241">
        <f t="shared" si="53"/>
        <v>8.3000000000000007</v>
      </c>
      <c r="DG37" s="242">
        <f t="shared" si="9"/>
        <v>6.53</v>
      </c>
      <c r="DH37" s="82" t="str">
        <f t="shared" si="54"/>
        <v/>
      </c>
      <c r="DI37" s="82" t="str">
        <f t="shared" si="55"/>
        <v/>
      </c>
      <c r="DJ37" s="82" t="str">
        <f t="shared" si="56"/>
        <v/>
      </c>
      <c r="DK37" s="82" t="str">
        <f t="shared" si="57"/>
        <v/>
      </c>
      <c r="DL37" s="82" t="str">
        <f t="shared" si="58"/>
        <v/>
      </c>
      <c r="DM37" s="82" t="str">
        <f t="shared" si="59"/>
        <v/>
      </c>
      <c r="DN37" s="82" t="str">
        <f t="shared" si="60"/>
        <v/>
      </c>
      <c r="DO37" s="82" t="str">
        <f t="shared" si="61"/>
        <v/>
      </c>
      <c r="DP37" s="82" t="str">
        <f t="shared" si="62"/>
        <v/>
      </c>
      <c r="DQ37" s="82" t="str">
        <f t="shared" si="63"/>
        <v/>
      </c>
      <c r="DR37" s="82" t="str">
        <f t="shared" si="64"/>
        <v/>
      </c>
      <c r="DS37" s="253" t="str">
        <f t="shared" si="65"/>
        <v/>
      </c>
      <c r="DT37" s="250">
        <f t="shared" si="66"/>
        <v>7.9</v>
      </c>
      <c r="DU37" s="238">
        <f t="shared" si="67"/>
        <v>7</v>
      </c>
      <c r="DV37" s="238">
        <f t="shared" si="68"/>
        <v>5.9</v>
      </c>
      <c r="DW37" s="238">
        <f t="shared" si="69"/>
        <v>8.1999999999999993</v>
      </c>
      <c r="DX37" s="238">
        <f t="shared" si="70"/>
        <v>4.8</v>
      </c>
      <c r="DY37" s="238" t="str">
        <f t="shared" si="71"/>
        <v/>
      </c>
      <c r="DZ37" s="238" t="str">
        <f t="shared" si="72"/>
        <v/>
      </c>
      <c r="EA37" s="238" t="str">
        <f t="shared" si="73"/>
        <v/>
      </c>
      <c r="EB37" s="238" t="str">
        <f t="shared" si="74"/>
        <v/>
      </c>
      <c r="EC37" s="238">
        <f t="shared" si="75"/>
        <v>5</v>
      </c>
      <c r="ED37" s="238">
        <f t="shared" si="76"/>
        <v>5.3</v>
      </c>
      <c r="EE37" s="238">
        <f t="shared" si="77"/>
        <v>8.3000000000000007</v>
      </c>
      <c r="EF37" s="255" t="str">
        <f t="shared" si="78"/>
        <v/>
      </c>
      <c r="EG37" s="257">
        <f t="shared" si="79"/>
        <v>7.9</v>
      </c>
      <c r="EH37" s="257">
        <f t="shared" si="80"/>
        <v>7</v>
      </c>
      <c r="EI37" s="257">
        <f t="shared" si="81"/>
        <v>5.9</v>
      </c>
      <c r="EJ37" s="257">
        <f t="shared" si="82"/>
        <v>8.1999999999999993</v>
      </c>
      <c r="EK37" s="257">
        <f t="shared" si="83"/>
        <v>4.8</v>
      </c>
      <c r="EL37" s="257" t="str">
        <f t="shared" si="84"/>
        <v/>
      </c>
      <c r="EM37" s="257" t="str">
        <f t="shared" si="85"/>
        <v/>
      </c>
      <c r="EN37" s="257" t="str">
        <f t="shared" si="86"/>
        <v/>
      </c>
      <c r="EO37" s="257" t="str">
        <f t="shared" si="87"/>
        <v/>
      </c>
      <c r="EP37" s="257">
        <f t="shared" si="88"/>
        <v>5</v>
      </c>
      <c r="EQ37" s="257">
        <f t="shared" si="89"/>
        <v>5.3</v>
      </c>
      <c r="ER37" s="257">
        <f t="shared" si="90"/>
        <v>8.3000000000000007</v>
      </c>
      <c r="ES37" s="262">
        <f t="shared" si="10"/>
        <v>6.53</v>
      </c>
      <c r="ET37" s="307">
        <f t="shared" si="91"/>
        <v>6.53</v>
      </c>
    </row>
    <row r="38" spans="1:150" s="89" customFormat="1" ht="30" customHeight="1">
      <c r="A38" s="272">
        <f>IF($B38="","",SUBTOTAL(3,$B$11:B38))</f>
        <v>28</v>
      </c>
      <c r="B38" s="457" t="s">
        <v>1829</v>
      </c>
      <c r="C38" s="76" t="str">
        <f>IF($B38="","",VLOOKUP($B38,'DS LOP HKI'!$B$2:$D$951,2,0))</f>
        <v>Nguyễn Quang</v>
      </c>
      <c r="D38" s="77" t="str">
        <f>IF($B38="","",VLOOKUP($B38,'DS LOP HKI'!$B$2:$D$951,3,0))</f>
        <v>Huân</v>
      </c>
      <c r="E38" s="78"/>
      <c r="F38" s="79"/>
      <c r="G38" s="80"/>
      <c r="H38" s="81">
        <f>IF(OR($H$6="",$H$7=""),"",IF($B38="","",IF(ISNA(VLOOKUP($B38,'LT01'!$B$11:$M$80,12,FALSE)),"",IF(VLOOKUP($B38,'LT01'!$B$11:$M$80,12,FALSE)="","",VLOOKUP($B38,'LT01'!$B$11:$M$80,12,FALSE)))))</f>
        <v>0</v>
      </c>
      <c r="I38" s="82">
        <f>IF(OR($H$6="",$H$7=""),"",IF($B38="","",IF(ISNA(VLOOKUP($B38,'LT01'!$B$11:$N$80,13,FALSE)),"",VLOOKUP($B38,'LT01'!$B$11:$N$80,13,FALSE))))</f>
        <v>0</v>
      </c>
      <c r="J38" s="83"/>
      <c r="K38" s="84" t="str">
        <f>IF(OR($H$6="",$H$7=""),"",IF($B38="","",IF(ISNA(VLOOKUP($B38,'LT01'!$B$11:$Q$80,16,FALSE)),"",IF(VLOOKUP($B38,'LT01'!$B$11:$Q$80,16,FALSE)="","",VLOOKUP($B38,'LT01'!$B$11:$Q$80,16,FALSE)))))</f>
        <v/>
      </c>
      <c r="L38" s="85">
        <f>IF(OR($L$6="",$L$7=""),"",IF($B38="","",IF(ISNA(VLOOKUP($B38,'LT02'!$B$11:$M$80,12,FALSE)),"",IF(VLOOKUP($B38,'LT02'!$B$11:$M$80,12,FALSE)="","",VLOOKUP($B38,'LT02'!$B$11:$M$80,12,FALSE)))))</f>
        <v>0</v>
      </c>
      <c r="M38" s="82">
        <f>IF(OR($L$6="",$L$7=""),"",IF($B38="","",IF(ISNA(VLOOKUP($B38,'LT02'!$B$11:$N$80,13,FALSE)),"",VLOOKUP($B38,'LT02'!$B$11:$N$80,13,FALSE))))</f>
        <v>0</v>
      </c>
      <c r="N38" s="83"/>
      <c r="O38" s="84" t="str">
        <f>IF(OR($L$6="",$L$7=""),"",IF($B38="","",IF(ISNA(VLOOKUP($B38,'LT02'!$B$11:$Q$80,16,FALSE)),"",VLOOKUP($B38,'LT02'!$B$11:$Q$80,16,FALSE))))</f>
        <v/>
      </c>
      <c r="P38" s="85">
        <f>IF(OR($P$6="",$P$7=""),"",IF($B38="","",IF(ISNA(VLOOKUP($B38,'LT03'!$B$11:$M$80,12,FALSE)),"",IF(VLOOKUP($B38,'LT03'!$B$11:$M$80,12,FALSE)="","",VLOOKUP($B38,'LT03'!$B$11:$M$80,12,FALSE)))))</f>
        <v>0</v>
      </c>
      <c r="Q38" s="82">
        <f>IF(OR($P$6="",$P$7=""),"",IF($B38="","",IF(ISNA(VLOOKUP($B38,'LT03'!$B$11:$N$80,13,FALSE)),"",VLOOKUP($B38,'LT03'!$B$11:$N$80,13,FALSE))))</f>
        <v>0</v>
      </c>
      <c r="R38" s="83"/>
      <c r="S38" s="84" t="str">
        <f>IF(OR($P$6="",$P$7=""),"",IF($B38="","",IF(ISNA(VLOOKUP($B38,'LT03'!$B$11:$Q$80,16,FALSE)),"",VLOOKUP($B38,'LT03'!$B$11:$Q$80,16,FALSE))))</f>
        <v/>
      </c>
      <c r="T38" s="85">
        <f>IF(OR($T$6="",$T$7=""),"",IF($B38="","",IF(ISNA(VLOOKUP($B38,'LT04'!$B$11:$M$80,12,FALSE)),"",IF(VLOOKUP($B38,'LT04'!$B$11:$M$80,12,FALSE)="","",VLOOKUP($B38,'LT04'!$B$11:$M$80,12,FALSE)))))</f>
        <v>0</v>
      </c>
      <c r="U38" s="82">
        <f>IF(OR($T$6="",$T$7=""),"",IF($B38="","",IF(ISNA(VLOOKUP($B38,'LT04'!$B$11:$N$80,13,FALSE)),"",VLOOKUP($B38,'LT04'!$B$11:$N$80,13,FALSE))))</f>
        <v>0</v>
      </c>
      <c r="V38" s="83"/>
      <c r="W38" s="84" t="str">
        <f>IF(OR($T$6="",$T$7=""),"",IF($B38="","",IF(ISNA(VLOOKUP($B38,'LT04'!$B$11:$Q$80,16,FALSE)),"",VLOOKUP($B38,'LT04'!$B$11:$Q$80,16,FALSE))))</f>
        <v/>
      </c>
      <c r="X38" s="85">
        <f>IF(OR($X$6="",$X$7=""),"",IF($B38="","",IF(ISNA(VLOOKUP($B38,'LT05'!$B$11:$M$80,12,FALSE)),"",IF(VLOOKUP($B38,'LT05'!$B$11:$M$80,12,FALSE)="","",VLOOKUP($B38,'LT05'!$B$11:$M$80,12,FALSE)))))</f>
        <v>0</v>
      </c>
      <c r="Y38" s="82">
        <f>IF(OR($X$6="",$X$7=""),"",IF($B38="","",IF(ISNA(VLOOKUP($B38,'LT05'!$B$11:$N$80,13,FALSE)),"",VLOOKUP($B38,'LT05'!$B$11:$N$80,13,FALSE))))</f>
        <v>0</v>
      </c>
      <c r="Z38" s="83"/>
      <c r="AA38" s="84" t="str">
        <f>IF(OR($X$6="",$X$7=""),"",IF($B38="","",IF(ISNA(VLOOKUP($B38,'LT05'!$B$11:$Q$80,16,FALSE)),"",VLOOKUP($B38,'LT05'!$B$11:$Q$80,16,FALSE))))</f>
        <v/>
      </c>
      <c r="AB38" s="85" t="str">
        <f>IF(OR($AB$6="",$AB$7=""),"",IF($B38="","",IF(ISNA(VLOOKUP($B38,'LT06'!$B$11:$M$80,12,FALSE)),"",IF(VLOOKUP($B38,'LT06'!$B$11:$M$80,12,FALSE)="","",VLOOKUP($B38,'LT06'!$B$11:$M$80,12,FALSE)))))</f>
        <v/>
      </c>
      <c r="AC38" s="82" t="str">
        <f>IF(OR($AB$6="",$AB$7=""),"",IF($B38="","",IF(ISNA(VLOOKUP($B38,'LT06'!$B$11:$N$80,13,FALSE)),"",VLOOKUP($B38,'LT06'!$B$11:$N$80,13,FALSE))))</f>
        <v/>
      </c>
      <c r="AD38" s="83"/>
      <c r="AE38" s="84" t="str">
        <f>IF(OR($AB$6="",$AB$7=""),"",IF($B38="","",IF(ISNA(VLOOKUP($B38,'LT06'!$B$11:$Q$80,16,FALSE)),"",VLOOKUP($B38,'LT06'!$B$11:$Q$80,16,FALSE))))</f>
        <v/>
      </c>
      <c r="AF38" s="85" t="str">
        <f>IF(OR($AF$6="",$AF$7=""),"",IF($B38="","",IF(ISNA(VLOOKUP($B38,'LT07'!$B$11:$M$80,12,FALSE)),"",IF(VLOOKUP($B38,'LT07'!$B$11:$M$80,12,FALSE)="","",VLOOKUP($B38,'LT07'!$B$11:$M$80,12,FALSE)))))</f>
        <v/>
      </c>
      <c r="AG38" s="82" t="str">
        <f>IF(OR($AF$6="",$AF$7=""),"",IF($B38="","",IF(ISNA(VLOOKUP($B38,'LT07'!$B$11:$N$80,13,FALSE)),"",VLOOKUP($B38,'LT07'!$B$11:$N$80,13,FALSE))))</f>
        <v/>
      </c>
      <c r="AH38" s="83"/>
      <c r="AI38" s="84" t="str">
        <f>IF(OR($AF$6="",$AF$7=""),"",IF($B38="","",IF(ISNA(VLOOKUP($B38,'LT07'!$B$11:$Q$80,16,FALSE)),"",VLOOKUP($B38,'LT07'!$B$11:$Q$80,16,FALSE))))</f>
        <v/>
      </c>
      <c r="AJ38" s="304"/>
      <c r="AK38" s="82" t="str">
        <f>IF(OR($AJ$6="",$AJ$7=""),"",IF($B38="","",IF(ISNA(VLOOKUP($B38,'DO AN'!$B$11:$L$80,11,FALSE)),"",IF(VLOOKUP($B38,'DO AN'!$B$11:$L$80,11,FALSE)="","",VLOOKUP($B38,'DO AN'!$B$11:$L$80,11,FALSE)))))</f>
        <v/>
      </c>
      <c r="AL38" s="83"/>
      <c r="AM38" s="451"/>
      <c r="AN38" s="83"/>
      <c r="AO38" s="82" t="str">
        <f>IF(OR($AN$6="",$AN$7=""),"",IF($B38="","",IF(ISNA(VLOOKUP($B38,'DO AN 2'!$B$11:$L$80,11,FALSE)),"",IF(VLOOKUP($B38,'DO AN 2'!$B$11:$L$80,11,FALSE)="","",VLOOKUP($B38,'DO AN 2'!$B$11:$L$80,11,FALSE)))))</f>
        <v/>
      </c>
      <c r="AP38" s="83"/>
      <c r="AQ38" s="83"/>
      <c r="AR38" s="454"/>
      <c r="AS38" s="82">
        <f>IF(OR($AR$6="",$AR$7=""),"",IF($B38="","",IF(ISNA(VLOOKUP($B38,'TH01'!$B$11:$O$80,14,FALSE)),"",VLOOKUP($B38,'TH01'!$B$11:$O$80,14,FALSE))))</f>
        <v>0</v>
      </c>
      <c r="AT38" s="83"/>
      <c r="AU38" s="303"/>
      <c r="AV38" s="304"/>
      <c r="AW38" s="82">
        <f>IF(OR($AV$6="",$AV$7=""),"",IF($B38="","",IF(ISNA(VLOOKUP($B38,'TH02'!$B$11:$O$80,14,FALSE)),"",VLOOKUP($B38,'TH02'!$B$11:$O$80,14,FALSE))))</f>
        <v>0</v>
      </c>
      <c r="AX38" s="83"/>
      <c r="AY38" s="303"/>
      <c r="AZ38" s="304"/>
      <c r="BA38" s="82">
        <f>IF(OR($AZ$6="",$AZ$7=""),"",IF($B38="","",IF(ISNA(VLOOKUP($B38,'TH03'!$B$11:$O$80,14,FALSE)),"",VLOOKUP($B38,'TH03'!$B$11:$O$80,14,FALSE))))</f>
        <v>0</v>
      </c>
      <c r="BB38" s="83"/>
      <c r="BC38" s="303"/>
      <c r="BD38" s="86">
        <f t="shared" si="11"/>
        <v>0</v>
      </c>
      <c r="BE38" s="86" t="str">
        <f t="shared" si="12"/>
        <v/>
      </c>
      <c r="BF38" s="87">
        <v>0</v>
      </c>
      <c r="BG38" s="88" t="str">
        <f t="shared" si="0"/>
        <v>Kém</v>
      </c>
      <c r="BH38" s="88" t="str">
        <f t="shared" si="1"/>
        <v/>
      </c>
      <c r="BI38" s="87"/>
      <c r="BJ38" s="86" t="str">
        <f t="shared" si="2"/>
        <v>Cảnh Báo</v>
      </c>
      <c r="BK38" s="265">
        <f t="shared" si="3"/>
        <v>0</v>
      </c>
      <c r="BL38" s="88">
        <f t="shared" si="4"/>
        <v>18</v>
      </c>
      <c r="BM38" s="88">
        <f t="shared" si="5"/>
        <v>0</v>
      </c>
      <c r="BN38" s="88">
        <f t="shared" si="6"/>
        <v>18</v>
      </c>
      <c r="BO38" s="86">
        <f t="shared" si="13"/>
        <v>0</v>
      </c>
      <c r="BP38" s="86" t="str">
        <f t="shared" si="7"/>
        <v>Yếu</v>
      </c>
      <c r="BQ38" s="86">
        <f t="shared" si="14"/>
        <v>0</v>
      </c>
      <c r="BR38" s="86" t="str">
        <f t="shared" si="8"/>
        <v>Yếu</v>
      </c>
      <c r="BS38" s="87" t="s">
        <v>2707</v>
      </c>
      <c r="BT38" s="276">
        <f t="shared" si="15"/>
        <v>8</v>
      </c>
      <c r="BU38" s="238">
        <f t="shared" si="16"/>
        <v>0</v>
      </c>
      <c r="BV38" s="238">
        <f t="shared" si="17"/>
        <v>0</v>
      </c>
      <c r="BW38" s="238">
        <f t="shared" si="18"/>
        <v>0</v>
      </c>
      <c r="BX38" s="238">
        <f t="shared" si="19"/>
        <v>0</v>
      </c>
      <c r="BY38" s="238">
        <f t="shared" si="20"/>
        <v>0</v>
      </c>
      <c r="BZ38" s="238" t="str">
        <f t="shared" si="21"/>
        <v/>
      </c>
      <c r="CA38" s="238" t="str">
        <f t="shared" si="22"/>
        <v/>
      </c>
      <c r="CB38" s="238" t="str">
        <f t="shared" si="23"/>
        <v/>
      </c>
      <c r="CC38" s="238" t="str">
        <f t="shared" si="24"/>
        <v/>
      </c>
      <c r="CD38" s="238">
        <f t="shared" si="25"/>
        <v>0</v>
      </c>
      <c r="CE38" s="238">
        <f t="shared" si="26"/>
        <v>0</v>
      </c>
      <c r="CF38" s="238">
        <f t="shared" si="27"/>
        <v>0</v>
      </c>
      <c r="CG38" s="239">
        <f t="shared" si="28"/>
        <v>8</v>
      </c>
      <c r="CH38" s="238">
        <f t="shared" si="29"/>
        <v>0</v>
      </c>
      <c r="CI38" s="238">
        <f t="shared" si="30"/>
        <v>0</v>
      </c>
      <c r="CJ38" s="238">
        <f t="shared" si="31"/>
        <v>0</v>
      </c>
      <c r="CK38" s="238">
        <f t="shared" si="32"/>
        <v>0</v>
      </c>
      <c r="CL38" s="238">
        <f t="shared" si="33"/>
        <v>0</v>
      </c>
      <c r="CM38" s="238" t="str">
        <f t="shared" si="34"/>
        <v/>
      </c>
      <c r="CN38" s="238" t="str">
        <f t="shared" si="35"/>
        <v/>
      </c>
      <c r="CO38" s="238" t="str">
        <f t="shared" si="36"/>
        <v/>
      </c>
      <c r="CP38" s="238" t="str">
        <f t="shared" si="37"/>
        <v/>
      </c>
      <c r="CQ38" s="238">
        <f t="shared" si="38"/>
        <v>0</v>
      </c>
      <c r="CR38" s="238">
        <f t="shared" si="39"/>
        <v>0</v>
      </c>
      <c r="CS38" s="238">
        <f t="shared" si="40"/>
        <v>0</v>
      </c>
      <c r="CT38" s="240">
        <f t="shared" si="41"/>
        <v>0</v>
      </c>
      <c r="CU38" s="241" t="str">
        <f t="shared" si="42"/>
        <v/>
      </c>
      <c r="CV38" s="241" t="str">
        <f t="shared" si="43"/>
        <v/>
      </c>
      <c r="CW38" s="241" t="str">
        <f t="shared" si="44"/>
        <v/>
      </c>
      <c r="CX38" s="241" t="str">
        <f t="shared" si="45"/>
        <v/>
      </c>
      <c r="CY38" s="241" t="str">
        <f t="shared" si="46"/>
        <v/>
      </c>
      <c r="CZ38" s="241" t="str">
        <f t="shared" si="47"/>
        <v/>
      </c>
      <c r="DA38" s="241" t="str">
        <f t="shared" si="48"/>
        <v/>
      </c>
      <c r="DB38" s="241" t="str">
        <f t="shared" si="49"/>
        <v/>
      </c>
      <c r="DC38" s="241" t="str">
        <f t="shared" si="50"/>
        <v/>
      </c>
      <c r="DD38" s="241" t="str">
        <f t="shared" si="51"/>
        <v/>
      </c>
      <c r="DE38" s="241" t="str">
        <f t="shared" si="52"/>
        <v/>
      </c>
      <c r="DF38" s="241" t="str">
        <f t="shared" si="53"/>
        <v/>
      </c>
      <c r="DG38" s="242">
        <f t="shared" si="9"/>
        <v>0</v>
      </c>
      <c r="DH38" s="82" t="str">
        <f t="shared" si="54"/>
        <v/>
      </c>
      <c r="DI38" s="82" t="str">
        <f t="shared" si="55"/>
        <v/>
      </c>
      <c r="DJ38" s="82" t="str">
        <f t="shared" si="56"/>
        <v/>
      </c>
      <c r="DK38" s="82" t="str">
        <f t="shared" si="57"/>
        <v/>
      </c>
      <c r="DL38" s="82" t="str">
        <f t="shared" si="58"/>
        <v/>
      </c>
      <c r="DM38" s="82" t="str">
        <f t="shared" si="59"/>
        <v/>
      </c>
      <c r="DN38" s="82" t="str">
        <f t="shared" si="60"/>
        <v/>
      </c>
      <c r="DO38" s="82" t="str">
        <f t="shared" si="61"/>
        <v/>
      </c>
      <c r="DP38" s="82" t="str">
        <f t="shared" si="62"/>
        <v/>
      </c>
      <c r="DQ38" s="82" t="str">
        <f t="shared" si="63"/>
        <v/>
      </c>
      <c r="DR38" s="82" t="str">
        <f t="shared" si="64"/>
        <v/>
      </c>
      <c r="DS38" s="253" t="str">
        <f t="shared" si="65"/>
        <v/>
      </c>
      <c r="DT38" s="250">
        <f t="shared" si="66"/>
        <v>0</v>
      </c>
      <c r="DU38" s="238">
        <f t="shared" si="67"/>
        <v>0</v>
      </c>
      <c r="DV38" s="238">
        <f t="shared" si="68"/>
        <v>0</v>
      </c>
      <c r="DW38" s="238">
        <f t="shared" si="69"/>
        <v>0</v>
      </c>
      <c r="DX38" s="238">
        <f t="shared" si="70"/>
        <v>0</v>
      </c>
      <c r="DY38" s="238" t="str">
        <f t="shared" si="71"/>
        <v/>
      </c>
      <c r="DZ38" s="238" t="str">
        <f t="shared" si="72"/>
        <v/>
      </c>
      <c r="EA38" s="238" t="str">
        <f t="shared" si="73"/>
        <v/>
      </c>
      <c r="EB38" s="238" t="str">
        <f t="shared" si="74"/>
        <v/>
      </c>
      <c r="EC38" s="238">
        <f t="shared" si="75"/>
        <v>0</v>
      </c>
      <c r="ED38" s="238">
        <f t="shared" si="76"/>
        <v>0</v>
      </c>
      <c r="EE38" s="238">
        <f t="shared" si="77"/>
        <v>0</v>
      </c>
      <c r="EF38" s="255" t="str">
        <f t="shared" si="78"/>
        <v/>
      </c>
      <c r="EG38" s="257" t="str">
        <f t="shared" si="79"/>
        <v/>
      </c>
      <c r="EH38" s="257" t="str">
        <f t="shared" si="80"/>
        <v/>
      </c>
      <c r="EI38" s="257" t="str">
        <f t="shared" si="81"/>
        <v/>
      </c>
      <c r="EJ38" s="257" t="str">
        <f t="shared" si="82"/>
        <v/>
      </c>
      <c r="EK38" s="257" t="str">
        <f t="shared" si="83"/>
        <v/>
      </c>
      <c r="EL38" s="257" t="str">
        <f t="shared" si="84"/>
        <v/>
      </c>
      <c r="EM38" s="257" t="str">
        <f t="shared" si="85"/>
        <v/>
      </c>
      <c r="EN38" s="257" t="str">
        <f t="shared" si="86"/>
        <v/>
      </c>
      <c r="EO38" s="257" t="str">
        <f t="shared" si="87"/>
        <v/>
      </c>
      <c r="EP38" s="257" t="str">
        <f t="shared" si="88"/>
        <v/>
      </c>
      <c r="EQ38" s="257" t="str">
        <f t="shared" si="89"/>
        <v/>
      </c>
      <c r="ER38" s="257" t="str">
        <f t="shared" si="90"/>
        <v/>
      </c>
      <c r="ES38" s="262">
        <f t="shared" si="10"/>
        <v>0</v>
      </c>
      <c r="ET38" s="307">
        <f t="shared" si="91"/>
        <v>0</v>
      </c>
    </row>
    <row r="39" spans="1:150" s="89" customFormat="1" ht="30" customHeight="1">
      <c r="A39" s="272">
        <f>IF($B39="","",SUBTOTAL(3,$B$11:B39))</f>
        <v>29</v>
      </c>
      <c r="B39" s="457" t="s">
        <v>1577</v>
      </c>
      <c r="C39" s="76" t="str">
        <f>IF($B39="","",VLOOKUP($B39,'DS LOP HKI'!$B$2:$D$951,2,0))</f>
        <v>Huỳnh Thanh</v>
      </c>
      <c r="D39" s="77" t="str">
        <f>IF($B39="","",VLOOKUP($B39,'DS LOP HKI'!$B$2:$D$951,3,0))</f>
        <v>Hùng</v>
      </c>
      <c r="E39" s="78"/>
      <c r="F39" s="79"/>
      <c r="G39" s="80">
        <v>5</v>
      </c>
      <c r="H39" s="81">
        <f>IF(OR($H$6="",$H$7=""),"",IF($B39="","",IF(ISNA(VLOOKUP($B39,'LT01'!$B$11:$M$80,12,FALSE)),"",IF(VLOOKUP($B39,'LT01'!$B$11:$M$80,12,FALSE)="","",VLOOKUP($B39,'LT01'!$B$11:$M$80,12,FALSE)))))</f>
        <v>7</v>
      </c>
      <c r="I39" s="82">
        <f>IF(OR($H$6="",$H$7=""),"",IF($B39="","",IF(ISNA(VLOOKUP($B39,'LT01'!$B$11:$N$80,13,FALSE)),"",VLOOKUP($B39,'LT01'!$B$11:$N$80,13,FALSE))))</f>
        <v>6.1</v>
      </c>
      <c r="J39" s="83"/>
      <c r="K39" s="84" t="str">
        <f>IF(OR($H$6="",$H$7=""),"",IF($B39="","",IF(ISNA(VLOOKUP($B39,'LT01'!$B$11:$Q$80,16,FALSE)),"",IF(VLOOKUP($B39,'LT01'!$B$11:$Q$80,16,FALSE)="","",VLOOKUP($B39,'LT01'!$B$11:$Q$80,16,FALSE)))))</f>
        <v/>
      </c>
      <c r="L39" s="85">
        <f>IF(OR($L$6="",$L$7=""),"",IF($B39="","",IF(ISNA(VLOOKUP($B39,'LT02'!$B$11:$M$80,12,FALSE)),"",IF(VLOOKUP($B39,'LT02'!$B$11:$M$80,12,FALSE)="","",VLOOKUP($B39,'LT02'!$B$11:$M$80,12,FALSE)))))</f>
        <v>6.5</v>
      </c>
      <c r="M39" s="82">
        <f>IF(OR($L$6="",$L$7=""),"",IF($B39="","",IF(ISNA(VLOOKUP($B39,'LT02'!$B$11:$N$80,13,FALSE)),"",VLOOKUP($B39,'LT02'!$B$11:$N$80,13,FALSE))))</f>
        <v>5.9</v>
      </c>
      <c r="N39" s="83"/>
      <c r="O39" s="84" t="str">
        <f>IF(OR($L$6="",$L$7=""),"",IF($B39="","",IF(ISNA(VLOOKUP($B39,'LT02'!$B$11:$Q$80,16,FALSE)),"",VLOOKUP($B39,'LT02'!$B$11:$Q$80,16,FALSE))))</f>
        <v/>
      </c>
      <c r="P39" s="85">
        <f>IF(OR($P$6="",$P$7=""),"",IF($B39="","",IF(ISNA(VLOOKUP($B39,'LT03'!$B$11:$M$80,12,FALSE)),"",IF(VLOOKUP($B39,'LT03'!$B$11:$M$80,12,FALSE)="","",VLOOKUP($B39,'LT03'!$B$11:$M$80,12,FALSE)))))</f>
        <v>4</v>
      </c>
      <c r="Q39" s="82">
        <f>IF(OR($P$6="",$P$7=""),"",IF($B39="","",IF(ISNA(VLOOKUP($B39,'LT03'!$B$11:$N$80,13,FALSE)),"",VLOOKUP($B39,'LT03'!$B$11:$N$80,13,FALSE))))</f>
        <v>4.4000000000000004</v>
      </c>
      <c r="R39" s="83"/>
      <c r="S39" s="84" t="str">
        <f>IF(OR($P$6="",$P$7=""),"",IF($B39="","",IF(ISNA(VLOOKUP($B39,'LT03'!$B$11:$Q$80,16,FALSE)),"",VLOOKUP($B39,'LT03'!$B$11:$Q$80,16,FALSE))))</f>
        <v/>
      </c>
      <c r="T39" s="85">
        <f>IF(OR($T$6="",$T$7=""),"",IF($B39="","",IF(ISNA(VLOOKUP($B39,'LT04'!$B$11:$M$80,12,FALSE)),"",IF(VLOOKUP($B39,'LT04'!$B$11:$M$80,12,FALSE)="","",VLOOKUP($B39,'LT04'!$B$11:$M$80,12,FALSE)))))</f>
        <v>7</v>
      </c>
      <c r="U39" s="82">
        <f>IF(OR($T$6="",$T$7=""),"",IF($B39="","",IF(ISNA(VLOOKUP($B39,'LT04'!$B$11:$N$80,13,FALSE)),"",VLOOKUP($B39,'LT04'!$B$11:$N$80,13,FALSE))))</f>
        <v>6.4</v>
      </c>
      <c r="V39" s="83"/>
      <c r="W39" s="84" t="str">
        <f>IF(OR($T$6="",$T$7=""),"",IF($B39="","",IF(ISNA(VLOOKUP($B39,'LT04'!$B$11:$Q$80,16,FALSE)),"",VLOOKUP($B39,'LT04'!$B$11:$Q$80,16,FALSE))))</f>
        <v/>
      </c>
      <c r="X39" s="85">
        <f>IF(OR($X$6="",$X$7=""),"",IF($B39="","",IF(ISNA(VLOOKUP($B39,'LT05'!$B$11:$M$80,12,FALSE)),"",IF(VLOOKUP($B39,'LT05'!$B$11:$M$80,12,FALSE)="","",VLOOKUP($B39,'LT05'!$B$11:$M$80,12,FALSE)))))</f>
        <v>1.8</v>
      </c>
      <c r="Y39" s="82">
        <f>IF(OR($X$6="",$X$7=""),"",IF($B39="","",IF(ISNA(VLOOKUP($B39,'LT05'!$B$11:$N$80,13,FALSE)),"",VLOOKUP($B39,'LT05'!$B$11:$N$80,13,FALSE))))</f>
        <v>2.9</v>
      </c>
      <c r="Z39" s="83"/>
      <c r="AA39" s="84" t="str">
        <f>IF(OR($X$6="",$X$7=""),"",IF($B39="","",IF(ISNA(VLOOKUP($B39,'LT05'!$B$11:$Q$80,16,FALSE)),"",VLOOKUP($B39,'LT05'!$B$11:$Q$80,16,FALSE))))</f>
        <v/>
      </c>
      <c r="AB39" s="85" t="str">
        <f>IF(OR($AB$6="",$AB$7=""),"",IF($B39="","",IF(ISNA(VLOOKUP($B39,'LT06'!$B$11:$M$80,12,FALSE)),"",IF(VLOOKUP($B39,'LT06'!$B$11:$M$80,12,FALSE)="","",VLOOKUP($B39,'LT06'!$B$11:$M$80,12,FALSE)))))</f>
        <v/>
      </c>
      <c r="AC39" s="82" t="str">
        <f>IF(OR($AB$6="",$AB$7=""),"",IF($B39="","",IF(ISNA(VLOOKUP($B39,'LT06'!$B$11:$N$80,13,FALSE)),"",VLOOKUP($B39,'LT06'!$B$11:$N$80,13,FALSE))))</f>
        <v/>
      </c>
      <c r="AD39" s="83"/>
      <c r="AE39" s="84" t="str">
        <f>IF(OR($AB$6="",$AB$7=""),"",IF($B39="","",IF(ISNA(VLOOKUP($B39,'LT06'!$B$11:$Q$80,16,FALSE)),"",VLOOKUP($B39,'LT06'!$B$11:$Q$80,16,FALSE))))</f>
        <v/>
      </c>
      <c r="AF39" s="85" t="str">
        <f>IF(OR($AF$6="",$AF$7=""),"",IF($B39="","",IF(ISNA(VLOOKUP($B39,'LT07'!$B$11:$M$80,12,FALSE)),"",IF(VLOOKUP($B39,'LT07'!$B$11:$M$80,12,FALSE)="","",VLOOKUP($B39,'LT07'!$B$11:$M$80,12,FALSE)))))</f>
        <v/>
      </c>
      <c r="AG39" s="82" t="str">
        <f>IF(OR($AF$6="",$AF$7=""),"",IF($B39="","",IF(ISNA(VLOOKUP($B39,'LT07'!$B$11:$N$80,13,FALSE)),"",VLOOKUP($B39,'LT07'!$B$11:$N$80,13,FALSE))))</f>
        <v/>
      </c>
      <c r="AH39" s="83"/>
      <c r="AI39" s="84" t="str">
        <f>IF(OR($AF$6="",$AF$7=""),"",IF($B39="","",IF(ISNA(VLOOKUP($B39,'LT07'!$B$11:$Q$80,16,FALSE)),"",VLOOKUP($B39,'LT07'!$B$11:$Q$80,16,FALSE))))</f>
        <v/>
      </c>
      <c r="AJ39" s="304"/>
      <c r="AK39" s="82" t="str">
        <f>IF(OR($AJ$6="",$AJ$7=""),"",IF($B39="","",IF(ISNA(VLOOKUP($B39,'DO AN'!$B$11:$L$80,11,FALSE)),"",IF(VLOOKUP($B39,'DO AN'!$B$11:$L$80,11,FALSE)="","",VLOOKUP($B39,'DO AN'!$B$11:$L$80,11,FALSE)))))</f>
        <v/>
      </c>
      <c r="AL39" s="83"/>
      <c r="AM39" s="451"/>
      <c r="AN39" s="83"/>
      <c r="AO39" s="82" t="str">
        <f>IF(OR($AN$6="",$AN$7=""),"",IF($B39="","",IF(ISNA(VLOOKUP($B39,'DO AN 2'!$B$11:$L$80,11,FALSE)),"",IF(VLOOKUP($B39,'DO AN 2'!$B$11:$L$80,11,FALSE)="","",VLOOKUP($B39,'DO AN 2'!$B$11:$L$80,11,FALSE)))))</f>
        <v/>
      </c>
      <c r="AP39" s="83"/>
      <c r="AQ39" s="83"/>
      <c r="AR39" s="454"/>
      <c r="AS39" s="82">
        <f>IF(OR($AR$6="",$AR$7=""),"",IF($B39="","",IF(ISNA(VLOOKUP($B39,'TH01'!$B$11:$O$80,14,FALSE)),"",VLOOKUP($B39,'TH01'!$B$11:$O$80,14,FALSE))))</f>
        <v>5</v>
      </c>
      <c r="AT39" s="83"/>
      <c r="AU39" s="303"/>
      <c r="AV39" s="304"/>
      <c r="AW39" s="82">
        <f>IF(OR($AV$6="",$AV$7=""),"",IF($B39="","",IF(ISNA(VLOOKUP($B39,'TH02'!$B$11:$O$80,14,FALSE)),"",VLOOKUP($B39,'TH02'!$B$11:$O$80,14,FALSE))))</f>
        <v>5.5</v>
      </c>
      <c r="AX39" s="83"/>
      <c r="AY39" s="303"/>
      <c r="AZ39" s="304"/>
      <c r="BA39" s="82">
        <f>IF(OR($AZ$6="",$AZ$7=""),"",IF($B39="","",IF(ISNA(VLOOKUP($B39,'TH03'!$B$11:$O$80,14,FALSE)),"",VLOOKUP($B39,'TH03'!$B$11:$O$80,14,FALSE))))</f>
        <v>5.5</v>
      </c>
      <c r="BB39" s="83"/>
      <c r="BC39" s="303"/>
      <c r="BD39" s="86">
        <f t="shared" si="11"/>
        <v>5.13</v>
      </c>
      <c r="BE39" s="86" t="str">
        <f t="shared" si="12"/>
        <v/>
      </c>
      <c r="BF39" s="87">
        <v>54</v>
      </c>
      <c r="BG39" s="88" t="str">
        <f t="shared" si="0"/>
        <v>TB Yếu</v>
      </c>
      <c r="BH39" s="88" t="str">
        <f t="shared" si="1"/>
        <v/>
      </c>
      <c r="BI39" s="87"/>
      <c r="BJ39" s="86" t="str">
        <f t="shared" si="2"/>
        <v/>
      </c>
      <c r="BK39" s="265">
        <f t="shared" si="3"/>
        <v>15</v>
      </c>
      <c r="BL39" s="88">
        <f t="shared" si="4"/>
        <v>3</v>
      </c>
      <c r="BM39" s="88">
        <f t="shared" si="5"/>
        <v>15</v>
      </c>
      <c r="BN39" s="88">
        <f t="shared" si="6"/>
        <v>3</v>
      </c>
      <c r="BO39" s="86">
        <f t="shared" si="13"/>
        <v>5.58</v>
      </c>
      <c r="BP39" s="86" t="str">
        <f t="shared" si="7"/>
        <v>BT</v>
      </c>
      <c r="BQ39" s="86">
        <f t="shared" si="14"/>
        <v>5.58</v>
      </c>
      <c r="BR39" s="86" t="str">
        <f t="shared" si="8"/>
        <v>BT</v>
      </c>
      <c r="BS39" s="87"/>
      <c r="BT39" s="276">
        <f t="shared" si="15"/>
        <v>2</v>
      </c>
      <c r="BU39" s="238">
        <f t="shared" si="16"/>
        <v>7</v>
      </c>
      <c r="BV39" s="238">
        <f t="shared" si="17"/>
        <v>6.5</v>
      </c>
      <c r="BW39" s="238">
        <f t="shared" si="18"/>
        <v>4</v>
      </c>
      <c r="BX39" s="238">
        <f t="shared" si="19"/>
        <v>7</v>
      </c>
      <c r="BY39" s="238">
        <f t="shared" si="20"/>
        <v>1.8</v>
      </c>
      <c r="BZ39" s="238" t="str">
        <f t="shared" si="21"/>
        <v/>
      </c>
      <c r="CA39" s="238" t="str">
        <f t="shared" si="22"/>
        <v/>
      </c>
      <c r="CB39" s="238" t="str">
        <f t="shared" si="23"/>
        <v/>
      </c>
      <c r="CC39" s="238" t="str">
        <f t="shared" si="24"/>
        <v/>
      </c>
      <c r="CD39" s="238">
        <f t="shared" si="25"/>
        <v>5</v>
      </c>
      <c r="CE39" s="238">
        <f t="shared" si="26"/>
        <v>5.5</v>
      </c>
      <c r="CF39" s="238">
        <f t="shared" si="27"/>
        <v>5.5</v>
      </c>
      <c r="CG39" s="239">
        <f t="shared" si="28"/>
        <v>1</v>
      </c>
      <c r="CH39" s="238">
        <f t="shared" si="29"/>
        <v>6.1</v>
      </c>
      <c r="CI39" s="238">
        <f t="shared" si="30"/>
        <v>5.9</v>
      </c>
      <c r="CJ39" s="238">
        <f t="shared" si="31"/>
        <v>4.4000000000000004</v>
      </c>
      <c r="CK39" s="238">
        <f t="shared" si="32"/>
        <v>6.4</v>
      </c>
      <c r="CL39" s="238">
        <f t="shared" si="33"/>
        <v>2.9</v>
      </c>
      <c r="CM39" s="238" t="str">
        <f t="shared" si="34"/>
        <v/>
      </c>
      <c r="CN39" s="238" t="str">
        <f t="shared" si="35"/>
        <v/>
      </c>
      <c r="CO39" s="238" t="str">
        <f t="shared" si="36"/>
        <v/>
      </c>
      <c r="CP39" s="238" t="str">
        <f t="shared" si="37"/>
        <v/>
      </c>
      <c r="CQ39" s="238">
        <f t="shared" si="38"/>
        <v>5</v>
      </c>
      <c r="CR39" s="238">
        <f t="shared" si="39"/>
        <v>5.5</v>
      </c>
      <c r="CS39" s="238">
        <f t="shared" si="40"/>
        <v>5.5</v>
      </c>
      <c r="CT39" s="240">
        <f t="shared" si="41"/>
        <v>5.13</v>
      </c>
      <c r="CU39" s="241">
        <f t="shared" si="42"/>
        <v>6.1</v>
      </c>
      <c r="CV39" s="241">
        <f t="shared" si="43"/>
        <v>5.9</v>
      </c>
      <c r="CW39" s="241">
        <f t="shared" si="44"/>
        <v>4.4000000000000004</v>
      </c>
      <c r="CX39" s="241">
        <f t="shared" si="45"/>
        <v>6.4</v>
      </c>
      <c r="CY39" s="241" t="str">
        <f t="shared" si="46"/>
        <v/>
      </c>
      <c r="CZ39" s="241" t="str">
        <f t="shared" si="47"/>
        <v/>
      </c>
      <c r="DA39" s="241" t="str">
        <f t="shared" si="48"/>
        <v/>
      </c>
      <c r="DB39" s="241" t="str">
        <f t="shared" si="49"/>
        <v/>
      </c>
      <c r="DC39" s="241" t="str">
        <f t="shared" si="50"/>
        <v/>
      </c>
      <c r="DD39" s="241">
        <f t="shared" si="51"/>
        <v>5</v>
      </c>
      <c r="DE39" s="241">
        <f t="shared" si="52"/>
        <v>5.5</v>
      </c>
      <c r="DF39" s="241">
        <f t="shared" si="53"/>
        <v>5.5</v>
      </c>
      <c r="DG39" s="242">
        <f t="shared" si="9"/>
        <v>5.58</v>
      </c>
      <c r="DH39" s="82" t="str">
        <f t="shared" si="54"/>
        <v/>
      </c>
      <c r="DI39" s="82" t="str">
        <f t="shared" si="55"/>
        <v/>
      </c>
      <c r="DJ39" s="82" t="str">
        <f t="shared" si="56"/>
        <v/>
      </c>
      <c r="DK39" s="82" t="str">
        <f t="shared" si="57"/>
        <v/>
      </c>
      <c r="DL39" s="82" t="str">
        <f t="shared" si="58"/>
        <v/>
      </c>
      <c r="DM39" s="82" t="str">
        <f t="shared" si="59"/>
        <v/>
      </c>
      <c r="DN39" s="82" t="str">
        <f t="shared" si="60"/>
        <v/>
      </c>
      <c r="DO39" s="82" t="str">
        <f t="shared" si="61"/>
        <v/>
      </c>
      <c r="DP39" s="82" t="str">
        <f t="shared" si="62"/>
        <v/>
      </c>
      <c r="DQ39" s="82" t="str">
        <f t="shared" si="63"/>
        <v/>
      </c>
      <c r="DR39" s="82" t="str">
        <f t="shared" si="64"/>
        <v/>
      </c>
      <c r="DS39" s="253" t="str">
        <f t="shared" si="65"/>
        <v/>
      </c>
      <c r="DT39" s="250">
        <f t="shared" si="66"/>
        <v>6.1</v>
      </c>
      <c r="DU39" s="238">
        <f t="shared" si="67"/>
        <v>5.9</v>
      </c>
      <c r="DV39" s="238">
        <f t="shared" si="68"/>
        <v>4.4000000000000004</v>
      </c>
      <c r="DW39" s="238">
        <f t="shared" si="69"/>
        <v>6.4</v>
      </c>
      <c r="DX39" s="238">
        <f t="shared" si="70"/>
        <v>2.9</v>
      </c>
      <c r="DY39" s="238" t="str">
        <f t="shared" si="71"/>
        <v/>
      </c>
      <c r="DZ39" s="238" t="str">
        <f t="shared" si="72"/>
        <v/>
      </c>
      <c r="EA39" s="238" t="str">
        <f t="shared" si="73"/>
        <v/>
      </c>
      <c r="EB39" s="238" t="str">
        <f t="shared" si="74"/>
        <v/>
      </c>
      <c r="EC39" s="238">
        <f t="shared" si="75"/>
        <v>5</v>
      </c>
      <c r="ED39" s="238">
        <f t="shared" si="76"/>
        <v>5.5</v>
      </c>
      <c r="EE39" s="238">
        <f t="shared" si="77"/>
        <v>5.5</v>
      </c>
      <c r="EF39" s="255" t="str">
        <f t="shared" si="78"/>
        <v/>
      </c>
      <c r="EG39" s="257">
        <f t="shared" si="79"/>
        <v>6.1</v>
      </c>
      <c r="EH39" s="257">
        <f t="shared" si="80"/>
        <v>5.9</v>
      </c>
      <c r="EI39" s="257">
        <f t="shared" si="81"/>
        <v>4.4000000000000004</v>
      </c>
      <c r="EJ39" s="257">
        <f t="shared" si="82"/>
        <v>6.4</v>
      </c>
      <c r="EK39" s="257" t="str">
        <f t="shared" si="83"/>
        <v/>
      </c>
      <c r="EL39" s="257" t="str">
        <f t="shared" si="84"/>
        <v/>
      </c>
      <c r="EM39" s="257" t="str">
        <f t="shared" si="85"/>
        <v/>
      </c>
      <c r="EN39" s="257" t="str">
        <f t="shared" si="86"/>
        <v/>
      </c>
      <c r="EO39" s="257" t="str">
        <f t="shared" si="87"/>
        <v/>
      </c>
      <c r="EP39" s="257">
        <f t="shared" si="88"/>
        <v>5</v>
      </c>
      <c r="EQ39" s="257">
        <f t="shared" si="89"/>
        <v>5.5</v>
      </c>
      <c r="ER39" s="257">
        <f t="shared" si="90"/>
        <v>5.5</v>
      </c>
      <c r="ES39" s="262">
        <f t="shared" si="10"/>
        <v>5.58</v>
      </c>
      <c r="ET39" s="307">
        <f t="shared" si="91"/>
        <v>5.13</v>
      </c>
    </row>
    <row r="40" spans="1:150" s="89" customFormat="1" ht="30" customHeight="1">
      <c r="A40" s="272">
        <f>IF($B40="","",SUBTOTAL(3,$B$11:B40))</f>
        <v>30</v>
      </c>
      <c r="B40" s="457" t="s">
        <v>1580</v>
      </c>
      <c r="C40" s="76" t="str">
        <f>IF($B40="","",VLOOKUP($B40,'DS LOP HKI'!$B$2:$D$951,2,0))</f>
        <v>Đoàn Lê Xuân</v>
      </c>
      <c r="D40" s="77" t="str">
        <f>IF($B40="","",VLOOKUP($B40,'DS LOP HKI'!$B$2:$D$951,3,0))</f>
        <v>Huy</v>
      </c>
      <c r="E40" s="78"/>
      <c r="F40" s="79"/>
      <c r="G40" s="80"/>
      <c r="H40" s="81">
        <f>IF(OR($H$6="",$H$7=""),"",IF($B40="","",IF(ISNA(VLOOKUP($B40,'LT01'!$B$11:$M$80,12,FALSE)),"",IF(VLOOKUP($B40,'LT01'!$B$11:$M$80,12,FALSE)="","",VLOOKUP($B40,'LT01'!$B$11:$M$80,12,FALSE)))))</f>
        <v>7</v>
      </c>
      <c r="I40" s="82">
        <f>IF(OR($H$6="",$H$7=""),"",IF($B40="","",IF(ISNA(VLOOKUP($B40,'LT01'!$B$11:$N$80,13,FALSE)),"",VLOOKUP($B40,'LT01'!$B$11:$N$80,13,FALSE))))</f>
        <v>6.6</v>
      </c>
      <c r="J40" s="83"/>
      <c r="K40" s="84" t="str">
        <f>IF(OR($H$6="",$H$7=""),"",IF($B40="","",IF(ISNA(VLOOKUP($B40,'LT01'!$B$11:$Q$80,16,FALSE)),"",IF(VLOOKUP($B40,'LT01'!$B$11:$Q$80,16,FALSE)="","",VLOOKUP($B40,'LT01'!$B$11:$Q$80,16,FALSE)))))</f>
        <v/>
      </c>
      <c r="L40" s="85">
        <f>IF(OR($L$6="",$L$7=""),"",IF($B40="","",IF(ISNA(VLOOKUP($B40,'LT02'!$B$11:$M$80,12,FALSE)),"",IF(VLOOKUP($B40,'LT02'!$B$11:$M$80,12,FALSE)="","",VLOOKUP($B40,'LT02'!$B$11:$M$80,12,FALSE)))))</f>
        <v>9.8000000000000007</v>
      </c>
      <c r="M40" s="82">
        <f>IF(OR($L$6="",$L$7=""),"",IF($B40="","",IF(ISNA(VLOOKUP($B40,'LT02'!$B$11:$N$80,13,FALSE)),"",VLOOKUP($B40,'LT02'!$B$11:$N$80,13,FALSE))))</f>
        <v>7.5</v>
      </c>
      <c r="N40" s="83"/>
      <c r="O40" s="84" t="str">
        <f>IF(OR($L$6="",$L$7=""),"",IF($B40="","",IF(ISNA(VLOOKUP($B40,'LT02'!$B$11:$Q$80,16,FALSE)),"",VLOOKUP($B40,'LT02'!$B$11:$Q$80,16,FALSE))))</f>
        <v/>
      </c>
      <c r="P40" s="85">
        <f>IF(OR($P$6="",$P$7=""),"",IF($B40="","",IF(ISNA(VLOOKUP($B40,'LT03'!$B$11:$M$80,12,FALSE)),"",IF(VLOOKUP($B40,'LT03'!$B$11:$M$80,12,FALSE)="","",VLOOKUP($B40,'LT03'!$B$11:$M$80,12,FALSE)))))</f>
        <v>4.3</v>
      </c>
      <c r="Q40" s="82">
        <f>IF(OR($P$6="",$P$7=""),"",IF($B40="","",IF(ISNA(VLOOKUP($B40,'LT03'!$B$11:$N$80,13,FALSE)),"",VLOOKUP($B40,'LT03'!$B$11:$N$80,13,FALSE))))</f>
        <v>5.0999999999999996</v>
      </c>
      <c r="R40" s="83"/>
      <c r="S40" s="84" t="str">
        <f>IF(OR($P$6="",$P$7=""),"",IF($B40="","",IF(ISNA(VLOOKUP($B40,'LT03'!$B$11:$Q$80,16,FALSE)),"",VLOOKUP($B40,'LT03'!$B$11:$Q$80,16,FALSE))))</f>
        <v/>
      </c>
      <c r="T40" s="85">
        <f>IF(OR($T$6="",$T$7=""),"",IF($B40="","",IF(ISNA(VLOOKUP($B40,'LT04'!$B$11:$M$80,12,FALSE)),"",IF(VLOOKUP($B40,'LT04'!$B$11:$M$80,12,FALSE)="","",VLOOKUP($B40,'LT04'!$B$11:$M$80,12,FALSE)))))</f>
        <v>7.5</v>
      </c>
      <c r="U40" s="82">
        <f>IF(OR($T$6="",$T$7=""),"",IF($B40="","",IF(ISNA(VLOOKUP($B40,'LT04'!$B$11:$N$80,13,FALSE)),"",VLOOKUP($B40,'LT04'!$B$11:$N$80,13,FALSE))))</f>
        <v>7</v>
      </c>
      <c r="V40" s="83"/>
      <c r="W40" s="84" t="str">
        <f>IF(OR($T$6="",$T$7=""),"",IF($B40="","",IF(ISNA(VLOOKUP($B40,'LT04'!$B$11:$Q$80,16,FALSE)),"",VLOOKUP($B40,'LT04'!$B$11:$Q$80,16,FALSE))))</f>
        <v/>
      </c>
      <c r="X40" s="85">
        <f>IF(OR($X$6="",$X$7=""),"",IF($B40="","",IF(ISNA(VLOOKUP($B40,'LT05'!$B$11:$M$80,12,FALSE)),"",IF(VLOOKUP($B40,'LT05'!$B$11:$M$80,12,FALSE)="","",VLOOKUP($B40,'LT05'!$B$11:$M$80,12,FALSE)))))</f>
        <v>3.3</v>
      </c>
      <c r="Y40" s="82">
        <f>IF(OR($X$6="",$X$7=""),"",IF($B40="","",IF(ISNA(VLOOKUP($B40,'LT05'!$B$11:$N$80,13,FALSE)),"",VLOOKUP($B40,'LT05'!$B$11:$N$80,13,FALSE))))</f>
        <v>4.0999999999999996</v>
      </c>
      <c r="Z40" s="83"/>
      <c r="AA40" s="84" t="str">
        <f>IF(OR($X$6="",$X$7=""),"",IF($B40="","",IF(ISNA(VLOOKUP($B40,'LT05'!$B$11:$Q$80,16,FALSE)),"",VLOOKUP($B40,'LT05'!$B$11:$Q$80,16,FALSE))))</f>
        <v/>
      </c>
      <c r="AB40" s="85" t="str">
        <f>IF(OR($AB$6="",$AB$7=""),"",IF($B40="","",IF(ISNA(VLOOKUP($B40,'LT06'!$B$11:$M$80,12,FALSE)),"",IF(VLOOKUP($B40,'LT06'!$B$11:$M$80,12,FALSE)="","",VLOOKUP($B40,'LT06'!$B$11:$M$80,12,FALSE)))))</f>
        <v/>
      </c>
      <c r="AC40" s="82" t="str">
        <f>IF(OR($AB$6="",$AB$7=""),"",IF($B40="","",IF(ISNA(VLOOKUP($B40,'LT06'!$B$11:$N$80,13,FALSE)),"",VLOOKUP($B40,'LT06'!$B$11:$N$80,13,FALSE))))</f>
        <v/>
      </c>
      <c r="AD40" s="83"/>
      <c r="AE40" s="84" t="str">
        <f>IF(OR($AB$6="",$AB$7=""),"",IF($B40="","",IF(ISNA(VLOOKUP($B40,'LT06'!$B$11:$Q$80,16,FALSE)),"",VLOOKUP($B40,'LT06'!$B$11:$Q$80,16,FALSE))))</f>
        <v/>
      </c>
      <c r="AF40" s="85" t="str">
        <f>IF(OR($AF$6="",$AF$7=""),"",IF($B40="","",IF(ISNA(VLOOKUP($B40,'LT07'!$B$11:$M$80,12,FALSE)),"",IF(VLOOKUP($B40,'LT07'!$B$11:$M$80,12,FALSE)="","",VLOOKUP($B40,'LT07'!$B$11:$M$80,12,FALSE)))))</f>
        <v/>
      </c>
      <c r="AG40" s="82" t="str">
        <f>IF(OR($AF$6="",$AF$7=""),"",IF($B40="","",IF(ISNA(VLOOKUP($B40,'LT07'!$B$11:$N$80,13,FALSE)),"",VLOOKUP($B40,'LT07'!$B$11:$N$80,13,FALSE))))</f>
        <v/>
      </c>
      <c r="AH40" s="83"/>
      <c r="AI40" s="84" t="str">
        <f>IF(OR($AF$6="",$AF$7=""),"",IF($B40="","",IF(ISNA(VLOOKUP($B40,'LT07'!$B$11:$Q$80,16,FALSE)),"",VLOOKUP($B40,'LT07'!$B$11:$Q$80,16,FALSE))))</f>
        <v/>
      </c>
      <c r="AJ40" s="304"/>
      <c r="AK40" s="82" t="str">
        <f>IF(OR($AJ$6="",$AJ$7=""),"",IF($B40="","",IF(ISNA(VLOOKUP($B40,'DO AN'!$B$11:$L$80,11,FALSE)),"",IF(VLOOKUP($B40,'DO AN'!$B$11:$L$80,11,FALSE)="","",VLOOKUP($B40,'DO AN'!$B$11:$L$80,11,FALSE)))))</f>
        <v/>
      </c>
      <c r="AL40" s="83"/>
      <c r="AM40" s="451"/>
      <c r="AN40" s="83"/>
      <c r="AO40" s="82" t="str">
        <f>IF(OR($AN$6="",$AN$7=""),"",IF($B40="","",IF(ISNA(VLOOKUP($B40,'DO AN 2'!$B$11:$L$80,11,FALSE)),"",IF(VLOOKUP($B40,'DO AN 2'!$B$11:$L$80,11,FALSE)="","",VLOOKUP($B40,'DO AN 2'!$B$11:$L$80,11,FALSE)))))</f>
        <v/>
      </c>
      <c r="AP40" s="83"/>
      <c r="AQ40" s="83"/>
      <c r="AR40" s="454"/>
      <c r="AS40" s="82">
        <f>IF(OR($AR$6="",$AR$7=""),"",IF($B40="","",IF(ISNA(VLOOKUP($B40,'TH01'!$B$11:$O$80,14,FALSE)),"",VLOOKUP($B40,'TH01'!$B$11:$O$80,14,FALSE))))</f>
        <v>5.4</v>
      </c>
      <c r="AT40" s="83"/>
      <c r="AU40" s="303"/>
      <c r="AV40" s="304"/>
      <c r="AW40" s="82">
        <f>IF(OR($AV$6="",$AV$7=""),"",IF($B40="","",IF(ISNA(VLOOKUP($B40,'TH02'!$B$11:$O$80,14,FALSE)),"",VLOOKUP($B40,'TH02'!$B$11:$O$80,14,FALSE))))</f>
        <v>8.8000000000000007</v>
      </c>
      <c r="AX40" s="83"/>
      <c r="AY40" s="303"/>
      <c r="AZ40" s="304"/>
      <c r="BA40" s="82">
        <f>IF(OR($AZ$6="",$AZ$7=""),"",IF($B40="","",IF(ISNA(VLOOKUP($B40,'TH03'!$B$11:$O$80,14,FALSE)),"",VLOOKUP($B40,'TH03'!$B$11:$O$80,14,FALSE))))</f>
        <v>8</v>
      </c>
      <c r="BB40" s="83"/>
      <c r="BC40" s="303"/>
      <c r="BD40" s="86">
        <f t="shared" si="11"/>
        <v>6.43</v>
      </c>
      <c r="BE40" s="86" t="str">
        <f t="shared" si="12"/>
        <v/>
      </c>
      <c r="BF40" s="87">
        <v>64</v>
      </c>
      <c r="BG40" s="88" t="str">
        <f t="shared" si="0"/>
        <v>T.Bình</v>
      </c>
      <c r="BH40" s="88" t="str">
        <f t="shared" si="1"/>
        <v/>
      </c>
      <c r="BI40" s="87"/>
      <c r="BJ40" s="86" t="str">
        <f t="shared" si="2"/>
        <v/>
      </c>
      <c r="BK40" s="265">
        <f t="shared" si="3"/>
        <v>18</v>
      </c>
      <c r="BL40" s="88">
        <f t="shared" si="4"/>
        <v>0</v>
      </c>
      <c r="BM40" s="88">
        <f t="shared" si="5"/>
        <v>18</v>
      </c>
      <c r="BN40" s="88">
        <f t="shared" si="6"/>
        <v>0</v>
      </c>
      <c r="BO40" s="86">
        <f t="shared" si="13"/>
        <v>6.43</v>
      </c>
      <c r="BP40" s="86" t="str">
        <f t="shared" si="7"/>
        <v>BT</v>
      </c>
      <c r="BQ40" s="86">
        <f t="shared" si="14"/>
        <v>6.43</v>
      </c>
      <c r="BR40" s="86" t="str">
        <f t="shared" si="8"/>
        <v>BT</v>
      </c>
      <c r="BS40" s="87"/>
      <c r="BT40" s="276">
        <f t="shared" si="15"/>
        <v>2</v>
      </c>
      <c r="BU40" s="238">
        <f t="shared" si="16"/>
        <v>7</v>
      </c>
      <c r="BV40" s="238">
        <f t="shared" si="17"/>
        <v>9.8000000000000007</v>
      </c>
      <c r="BW40" s="238">
        <f t="shared" si="18"/>
        <v>4.3</v>
      </c>
      <c r="BX40" s="238">
        <f t="shared" si="19"/>
        <v>7.5</v>
      </c>
      <c r="BY40" s="238">
        <f t="shared" si="20"/>
        <v>3.3</v>
      </c>
      <c r="BZ40" s="238" t="str">
        <f t="shared" si="21"/>
        <v/>
      </c>
      <c r="CA40" s="238" t="str">
        <f t="shared" si="22"/>
        <v/>
      </c>
      <c r="CB40" s="238" t="str">
        <f t="shared" si="23"/>
        <v/>
      </c>
      <c r="CC40" s="238" t="str">
        <f t="shared" si="24"/>
        <v/>
      </c>
      <c r="CD40" s="238">
        <f t="shared" si="25"/>
        <v>5.4</v>
      </c>
      <c r="CE40" s="238">
        <f t="shared" si="26"/>
        <v>8.8000000000000007</v>
      </c>
      <c r="CF40" s="238">
        <f t="shared" si="27"/>
        <v>8</v>
      </c>
      <c r="CG40" s="239">
        <f t="shared" si="28"/>
        <v>0</v>
      </c>
      <c r="CH40" s="238">
        <f t="shared" si="29"/>
        <v>6.6</v>
      </c>
      <c r="CI40" s="238">
        <f t="shared" si="30"/>
        <v>7.5</v>
      </c>
      <c r="CJ40" s="238">
        <f t="shared" si="31"/>
        <v>5.0999999999999996</v>
      </c>
      <c r="CK40" s="238">
        <f t="shared" si="32"/>
        <v>7</v>
      </c>
      <c r="CL40" s="238">
        <f t="shared" si="33"/>
        <v>4.0999999999999996</v>
      </c>
      <c r="CM40" s="238" t="str">
        <f t="shared" si="34"/>
        <v/>
      </c>
      <c r="CN40" s="238" t="str">
        <f t="shared" si="35"/>
        <v/>
      </c>
      <c r="CO40" s="238" t="str">
        <f t="shared" si="36"/>
        <v/>
      </c>
      <c r="CP40" s="238" t="str">
        <f t="shared" si="37"/>
        <v/>
      </c>
      <c r="CQ40" s="238">
        <f t="shared" si="38"/>
        <v>5.4</v>
      </c>
      <c r="CR40" s="238">
        <f t="shared" si="39"/>
        <v>8.8000000000000007</v>
      </c>
      <c r="CS40" s="238">
        <f t="shared" si="40"/>
        <v>8</v>
      </c>
      <c r="CT40" s="240">
        <f t="shared" si="41"/>
        <v>6.43</v>
      </c>
      <c r="CU40" s="241">
        <f t="shared" si="42"/>
        <v>6.6</v>
      </c>
      <c r="CV40" s="241">
        <f t="shared" si="43"/>
        <v>7.5</v>
      </c>
      <c r="CW40" s="241">
        <f t="shared" si="44"/>
        <v>5.0999999999999996</v>
      </c>
      <c r="CX40" s="241">
        <f t="shared" si="45"/>
        <v>7</v>
      </c>
      <c r="CY40" s="241">
        <f t="shared" si="46"/>
        <v>4.0999999999999996</v>
      </c>
      <c r="CZ40" s="241" t="str">
        <f t="shared" si="47"/>
        <v/>
      </c>
      <c r="DA40" s="241" t="str">
        <f t="shared" si="48"/>
        <v/>
      </c>
      <c r="DB40" s="241" t="str">
        <f t="shared" si="49"/>
        <v/>
      </c>
      <c r="DC40" s="241" t="str">
        <f t="shared" si="50"/>
        <v/>
      </c>
      <c r="DD40" s="241">
        <f t="shared" si="51"/>
        <v>5.4</v>
      </c>
      <c r="DE40" s="241">
        <f t="shared" si="52"/>
        <v>8.8000000000000007</v>
      </c>
      <c r="DF40" s="241">
        <f t="shared" si="53"/>
        <v>8</v>
      </c>
      <c r="DG40" s="242">
        <f t="shared" si="9"/>
        <v>6.43</v>
      </c>
      <c r="DH40" s="82" t="str">
        <f t="shared" si="54"/>
        <v/>
      </c>
      <c r="DI40" s="82" t="str">
        <f t="shared" si="55"/>
        <v/>
      </c>
      <c r="DJ40" s="82" t="str">
        <f t="shared" si="56"/>
        <v/>
      </c>
      <c r="DK40" s="82" t="str">
        <f t="shared" si="57"/>
        <v/>
      </c>
      <c r="DL40" s="82" t="str">
        <f t="shared" si="58"/>
        <v/>
      </c>
      <c r="DM40" s="82" t="str">
        <f t="shared" si="59"/>
        <v/>
      </c>
      <c r="DN40" s="82" t="str">
        <f t="shared" si="60"/>
        <v/>
      </c>
      <c r="DO40" s="82" t="str">
        <f t="shared" si="61"/>
        <v/>
      </c>
      <c r="DP40" s="82" t="str">
        <f t="shared" si="62"/>
        <v/>
      </c>
      <c r="DQ40" s="82" t="str">
        <f t="shared" si="63"/>
        <v/>
      </c>
      <c r="DR40" s="82" t="str">
        <f t="shared" si="64"/>
        <v/>
      </c>
      <c r="DS40" s="253" t="str">
        <f t="shared" si="65"/>
        <v/>
      </c>
      <c r="DT40" s="250">
        <f t="shared" si="66"/>
        <v>6.6</v>
      </c>
      <c r="DU40" s="238">
        <f t="shared" si="67"/>
        <v>7.5</v>
      </c>
      <c r="DV40" s="238">
        <f t="shared" si="68"/>
        <v>5.0999999999999996</v>
      </c>
      <c r="DW40" s="238">
        <f t="shared" si="69"/>
        <v>7</v>
      </c>
      <c r="DX40" s="238">
        <f t="shared" si="70"/>
        <v>4.0999999999999996</v>
      </c>
      <c r="DY40" s="238" t="str">
        <f t="shared" si="71"/>
        <v/>
      </c>
      <c r="DZ40" s="238" t="str">
        <f t="shared" si="72"/>
        <v/>
      </c>
      <c r="EA40" s="238" t="str">
        <f t="shared" si="73"/>
        <v/>
      </c>
      <c r="EB40" s="238" t="str">
        <f t="shared" si="74"/>
        <v/>
      </c>
      <c r="EC40" s="238">
        <f t="shared" si="75"/>
        <v>5.4</v>
      </c>
      <c r="ED40" s="238">
        <f t="shared" si="76"/>
        <v>8.8000000000000007</v>
      </c>
      <c r="EE40" s="238">
        <f t="shared" si="77"/>
        <v>8</v>
      </c>
      <c r="EF40" s="255" t="str">
        <f t="shared" si="78"/>
        <v/>
      </c>
      <c r="EG40" s="257">
        <f t="shared" si="79"/>
        <v>6.6</v>
      </c>
      <c r="EH40" s="257">
        <f t="shared" si="80"/>
        <v>7.5</v>
      </c>
      <c r="EI40" s="257">
        <f t="shared" si="81"/>
        <v>5.0999999999999996</v>
      </c>
      <c r="EJ40" s="257">
        <f t="shared" si="82"/>
        <v>7</v>
      </c>
      <c r="EK40" s="257">
        <f t="shared" si="83"/>
        <v>4.0999999999999996</v>
      </c>
      <c r="EL40" s="257" t="str">
        <f t="shared" si="84"/>
        <v/>
      </c>
      <c r="EM40" s="257" t="str">
        <f t="shared" si="85"/>
        <v/>
      </c>
      <c r="EN40" s="257" t="str">
        <f t="shared" si="86"/>
        <v/>
      </c>
      <c r="EO40" s="257" t="str">
        <f t="shared" si="87"/>
        <v/>
      </c>
      <c r="EP40" s="257">
        <f t="shared" si="88"/>
        <v>5.4</v>
      </c>
      <c r="EQ40" s="257">
        <f t="shared" si="89"/>
        <v>8.8000000000000007</v>
      </c>
      <c r="ER40" s="257">
        <f t="shared" si="90"/>
        <v>8</v>
      </c>
      <c r="ES40" s="262">
        <f t="shared" si="10"/>
        <v>6.43</v>
      </c>
      <c r="ET40" s="307">
        <f t="shared" si="91"/>
        <v>6.43</v>
      </c>
    </row>
    <row r="41" spans="1:150" s="89" customFormat="1" ht="30" customHeight="1">
      <c r="A41" s="272">
        <f>IF($B41="","",SUBTOTAL(3,$B$11:B41))</f>
        <v>31</v>
      </c>
      <c r="B41" s="457" t="s">
        <v>1582</v>
      </c>
      <c r="C41" s="76" t="str">
        <f>IF($B41="","",VLOOKUP($B41,'DS LOP HKI'!$B$2:$D$951,2,0))</f>
        <v>Trịnh Đại</v>
      </c>
      <c r="D41" s="77" t="str">
        <f>IF($B41="","",VLOOKUP($B41,'DS LOP HKI'!$B$2:$D$951,3,0))</f>
        <v>Lăng</v>
      </c>
      <c r="E41" s="78"/>
      <c r="F41" s="79"/>
      <c r="G41" s="80"/>
      <c r="H41" s="81">
        <f>IF(OR($H$6="",$H$7=""),"",IF($B41="","",IF(ISNA(VLOOKUP($B41,'LT01'!$B$11:$M$80,12,FALSE)),"",IF(VLOOKUP($B41,'LT01'!$B$11:$M$80,12,FALSE)="","",VLOOKUP($B41,'LT01'!$B$11:$M$80,12,FALSE)))))</f>
        <v>7</v>
      </c>
      <c r="I41" s="82">
        <f>IF(OR($H$6="",$H$7=""),"",IF($B41="","",IF(ISNA(VLOOKUP($B41,'LT01'!$B$11:$N$80,13,FALSE)),"",VLOOKUP($B41,'LT01'!$B$11:$N$80,13,FALSE))))</f>
        <v>6.9</v>
      </c>
      <c r="J41" s="83"/>
      <c r="K41" s="84" t="str">
        <f>IF(OR($H$6="",$H$7=""),"",IF($B41="","",IF(ISNA(VLOOKUP($B41,'LT01'!$B$11:$Q$80,16,FALSE)),"",IF(VLOOKUP($B41,'LT01'!$B$11:$Q$80,16,FALSE)="","",VLOOKUP($B41,'LT01'!$B$11:$Q$80,16,FALSE)))))</f>
        <v/>
      </c>
      <c r="L41" s="85">
        <f>IF(OR($L$6="",$L$7=""),"",IF($B41="","",IF(ISNA(VLOOKUP($B41,'LT02'!$B$11:$M$80,12,FALSE)),"",IF(VLOOKUP($B41,'LT02'!$B$11:$M$80,12,FALSE)="","",VLOOKUP($B41,'LT02'!$B$11:$M$80,12,FALSE)))))</f>
        <v>8.8000000000000007</v>
      </c>
      <c r="M41" s="82">
        <f>IF(OR($L$6="",$L$7=""),"",IF($B41="","",IF(ISNA(VLOOKUP($B41,'LT02'!$B$11:$N$80,13,FALSE)),"",VLOOKUP($B41,'LT02'!$B$11:$N$80,13,FALSE))))</f>
        <v>7.3</v>
      </c>
      <c r="N41" s="83"/>
      <c r="O41" s="84" t="str">
        <f>IF(OR($L$6="",$L$7=""),"",IF($B41="","",IF(ISNA(VLOOKUP($B41,'LT02'!$B$11:$Q$80,16,FALSE)),"",VLOOKUP($B41,'LT02'!$B$11:$Q$80,16,FALSE))))</f>
        <v/>
      </c>
      <c r="P41" s="85">
        <f>IF(OR($P$6="",$P$7=""),"",IF($B41="","",IF(ISNA(VLOOKUP($B41,'LT03'!$B$11:$M$80,12,FALSE)),"",IF(VLOOKUP($B41,'LT03'!$B$11:$M$80,12,FALSE)="","",VLOOKUP($B41,'LT03'!$B$11:$M$80,12,FALSE)))))</f>
        <v>5.8</v>
      </c>
      <c r="Q41" s="82">
        <f>IF(OR($P$6="",$P$7=""),"",IF($B41="","",IF(ISNA(VLOOKUP($B41,'LT03'!$B$11:$N$80,13,FALSE)),"",VLOOKUP($B41,'LT03'!$B$11:$N$80,13,FALSE))))</f>
        <v>5.6</v>
      </c>
      <c r="R41" s="83"/>
      <c r="S41" s="84" t="str">
        <f>IF(OR($P$6="",$P$7=""),"",IF($B41="","",IF(ISNA(VLOOKUP($B41,'LT03'!$B$11:$Q$80,16,FALSE)),"",VLOOKUP($B41,'LT03'!$B$11:$Q$80,16,FALSE))))</f>
        <v/>
      </c>
      <c r="T41" s="85">
        <f>IF(OR($T$6="",$T$7=""),"",IF($B41="","",IF(ISNA(VLOOKUP($B41,'LT04'!$B$11:$M$80,12,FALSE)),"",IF(VLOOKUP($B41,'LT04'!$B$11:$M$80,12,FALSE)="","",VLOOKUP($B41,'LT04'!$B$11:$M$80,12,FALSE)))))</f>
        <v>8.5</v>
      </c>
      <c r="U41" s="82">
        <f>IF(OR($T$6="",$T$7=""),"",IF($B41="","",IF(ISNA(VLOOKUP($B41,'LT04'!$B$11:$N$80,13,FALSE)),"",VLOOKUP($B41,'LT04'!$B$11:$N$80,13,FALSE))))</f>
        <v>7.7</v>
      </c>
      <c r="V41" s="83"/>
      <c r="W41" s="84" t="str">
        <f>IF(OR($T$6="",$T$7=""),"",IF($B41="","",IF(ISNA(VLOOKUP($B41,'LT04'!$B$11:$Q$80,16,FALSE)),"",VLOOKUP($B41,'LT04'!$B$11:$Q$80,16,FALSE))))</f>
        <v/>
      </c>
      <c r="X41" s="85">
        <f>IF(OR($X$6="",$X$7=""),"",IF($B41="","",IF(ISNA(VLOOKUP($B41,'LT05'!$B$11:$M$80,12,FALSE)),"",IF(VLOOKUP($B41,'LT05'!$B$11:$M$80,12,FALSE)="","",VLOOKUP($B41,'LT05'!$B$11:$M$80,12,FALSE)))))</f>
        <v>2.5</v>
      </c>
      <c r="Y41" s="82">
        <f>IF(OR($X$6="",$X$7=""),"",IF($B41="","",IF(ISNA(VLOOKUP($B41,'LT05'!$B$11:$N$80,13,FALSE)),"",VLOOKUP($B41,'LT05'!$B$11:$N$80,13,FALSE))))</f>
        <v>3.3</v>
      </c>
      <c r="Z41" s="83"/>
      <c r="AA41" s="84" t="str">
        <f>IF(OR($X$6="",$X$7=""),"",IF($B41="","",IF(ISNA(VLOOKUP($B41,'LT05'!$B$11:$Q$80,16,FALSE)),"",VLOOKUP($B41,'LT05'!$B$11:$Q$80,16,FALSE))))</f>
        <v/>
      </c>
      <c r="AB41" s="85" t="str">
        <f>IF(OR($AB$6="",$AB$7=""),"",IF($B41="","",IF(ISNA(VLOOKUP($B41,'LT06'!$B$11:$M$80,12,FALSE)),"",IF(VLOOKUP($B41,'LT06'!$B$11:$M$80,12,FALSE)="","",VLOOKUP($B41,'LT06'!$B$11:$M$80,12,FALSE)))))</f>
        <v/>
      </c>
      <c r="AC41" s="82" t="str">
        <f>IF(OR($AB$6="",$AB$7=""),"",IF($B41="","",IF(ISNA(VLOOKUP($B41,'LT06'!$B$11:$N$80,13,FALSE)),"",VLOOKUP($B41,'LT06'!$B$11:$N$80,13,FALSE))))</f>
        <v/>
      </c>
      <c r="AD41" s="83"/>
      <c r="AE41" s="84" t="str">
        <f>IF(OR($AB$6="",$AB$7=""),"",IF($B41="","",IF(ISNA(VLOOKUP($B41,'LT06'!$B$11:$Q$80,16,FALSE)),"",VLOOKUP($B41,'LT06'!$B$11:$Q$80,16,FALSE))))</f>
        <v/>
      </c>
      <c r="AF41" s="85" t="str">
        <f>IF(OR($AF$6="",$AF$7=""),"",IF($B41="","",IF(ISNA(VLOOKUP($B41,'LT07'!$B$11:$M$80,12,FALSE)),"",IF(VLOOKUP($B41,'LT07'!$B$11:$M$80,12,FALSE)="","",VLOOKUP($B41,'LT07'!$B$11:$M$80,12,FALSE)))))</f>
        <v/>
      </c>
      <c r="AG41" s="82" t="str">
        <f>IF(OR($AF$6="",$AF$7=""),"",IF($B41="","",IF(ISNA(VLOOKUP($B41,'LT07'!$B$11:$N$80,13,FALSE)),"",VLOOKUP($B41,'LT07'!$B$11:$N$80,13,FALSE))))</f>
        <v/>
      </c>
      <c r="AH41" s="83"/>
      <c r="AI41" s="84" t="str">
        <f>IF(OR($AF$6="",$AF$7=""),"",IF($B41="","",IF(ISNA(VLOOKUP($B41,'LT07'!$B$11:$Q$80,16,FALSE)),"",VLOOKUP($B41,'LT07'!$B$11:$Q$80,16,FALSE))))</f>
        <v/>
      </c>
      <c r="AJ41" s="304"/>
      <c r="AK41" s="82" t="str">
        <f>IF(OR($AJ$6="",$AJ$7=""),"",IF($B41="","",IF(ISNA(VLOOKUP($B41,'DO AN'!$B$11:$L$80,11,FALSE)),"",IF(VLOOKUP($B41,'DO AN'!$B$11:$L$80,11,FALSE)="","",VLOOKUP($B41,'DO AN'!$B$11:$L$80,11,FALSE)))))</f>
        <v/>
      </c>
      <c r="AL41" s="83"/>
      <c r="AM41" s="451"/>
      <c r="AN41" s="83"/>
      <c r="AO41" s="82" t="str">
        <f>IF(OR($AN$6="",$AN$7=""),"",IF($B41="","",IF(ISNA(VLOOKUP($B41,'DO AN 2'!$B$11:$L$80,11,FALSE)),"",IF(VLOOKUP($B41,'DO AN 2'!$B$11:$L$80,11,FALSE)="","",VLOOKUP($B41,'DO AN 2'!$B$11:$L$80,11,FALSE)))))</f>
        <v/>
      </c>
      <c r="AP41" s="83"/>
      <c r="AQ41" s="83"/>
      <c r="AR41" s="454"/>
      <c r="AS41" s="82">
        <f>IF(OR($AR$6="",$AR$7=""),"",IF($B41="","",IF(ISNA(VLOOKUP($B41,'TH01'!$B$11:$O$80,14,FALSE)),"",VLOOKUP($B41,'TH01'!$B$11:$O$80,14,FALSE))))</f>
        <v>5</v>
      </c>
      <c r="AT41" s="83"/>
      <c r="AU41" s="303"/>
      <c r="AV41" s="304"/>
      <c r="AW41" s="82">
        <f>IF(OR($AV$6="",$AV$7=""),"",IF($B41="","",IF(ISNA(VLOOKUP($B41,'TH02'!$B$11:$O$80,14,FALSE)),"",VLOOKUP($B41,'TH02'!$B$11:$O$80,14,FALSE))))</f>
        <v>5.8</v>
      </c>
      <c r="AX41" s="83"/>
      <c r="AY41" s="303"/>
      <c r="AZ41" s="304"/>
      <c r="BA41" s="82">
        <f>IF(OR($AZ$6="",$AZ$7=""),"",IF($B41="","",IF(ISNA(VLOOKUP($B41,'TH03'!$B$11:$O$80,14,FALSE)),"",VLOOKUP($B41,'TH03'!$B$11:$O$80,14,FALSE))))</f>
        <v>5.3</v>
      </c>
      <c r="BB41" s="83"/>
      <c r="BC41" s="303"/>
      <c r="BD41" s="86">
        <f t="shared" si="11"/>
        <v>5.78</v>
      </c>
      <c r="BE41" s="86" t="str">
        <f t="shared" si="12"/>
        <v/>
      </c>
      <c r="BF41" s="87">
        <v>59</v>
      </c>
      <c r="BG41" s="88" t="str">
        <f t="shared" si="0"/>
        <v>T.Bình</v>
      </c>
      <c r="BH41" s="88" t="str">
        <f t="shared" si="1"/>
        <v/>
      </c>
      <c r="BI41" s="87"/>
      <c r="BJ41" s="86" t="str">
        <f t="shared" si="2"/>
        <v/>
      </c>
      <c r="BK41" s="265">
        <f t="shared" si="3"/>
        <v>15</v>
      </c>
      <c r="BL41" s="88">
        <f t="shared" si="4"/>
        <v>3</v>
      </c>
      <c r="BM41" s="88">
        <f t="shared" si="5"/>
        <v>15</v>
      </c>
      <c r="BN41" s="88">
        <f t="shared" si="6"/>
        <v>3</v>
      </c>
      <c r="BO41" s="86">
        <f t="shared" si="13"/>
        <v>6.27</v>
      </c>
      <c r="BP41" s="86" t="str">
        <f t="shared" si="7"/>
        <v>BT</v>
      </c>
      <c r="BQ41" s="86">
        <f t="shared" si="14"/>
        <v>6.27</v>
      </c>
      <c r="BR41" s="86" t="str">
        <f t="shared" si="8"/>
        <v>BT</v>
      </c>
      <c r="BS41" s="87"/>
      <c r="BT41" s="276">
        <f t="shared" si="15"/>
        <v>1</v>
      </c>
      <c r="BU41" s="238">
        <f t="shared" si="16"/>
        <v>7</v>
      </c>
      <c r="BV41" s="238">
        <f t="shared" si="17"/>
        <v>8.8000000000000007</v>
      </c>
      <c r="BW41" s="238">
        <f t="shared" si="18"/>
        <v>5.8</v>
      </c>
      <c r="BX41" s="238">
        <f t="shared" si="19"/>
        <v>8.5</v>
      </c>
      <c r="BY41" s="238">
        <f t="shared" si="20"/>
        <v>2.5</v>
      </c>
      <c r="BZ41" s="238" t="str">
        <f t="shared" si="21"/>
        <v/>
      </c>
      <c r="CA41" s="238" t="str">
        <f t="shared" si="22"/>
        <v/>
      </c>
      <c r="CB41" s="238" t="str">
        <f t="shared" si="23"/>
        <v/>
      </c>
      <c r="CC41" s="238" t="str">
        <f t="shared" si="24"/>
        <v/>
      </c>
      <c r="CD41" s="238">
        <f t="shared" si="25"/>
        <v>5</v>
      </c>
      <c r="CE41" s="238">
        <f t="shared" si="26"/>
        <v>5.8</v>
      </c>
      <c r="CF41" s="238">
        <f t="shared" si="27"/>
        <v>5.3</v>
      </c>
      <c r="CG41" s="239">
        <f t="shared" si="28"/>
        <v>1</v>
      </c>
      <c r="CH41" s="238">
        <f t="shared" si="29"/>
        <v>6.9</v>
      </c>
      <c r="CI41" s="238">
        <f t="shared" si="30"/>
        <v>7.3</v>
      </c>
      <c r="CJ41" s="238">
        <f t="shared" si="31"/>
        <v>5.6</v>
      </c>
      <c r="CK41" s="238">
        <f t="shared" si="32"/>
        <v>7.7</v>
      </c>
      <c r="CL41" s="238">
        <f t="shared" si="33"/>
        <v>3.3</v>
      </c>
      <c r="CM41" s="238" t="str">
        <f t="shared" si="34"/>
        <v/>
      </c>
      <c r="CN41" s="238" t="str">
        <f t="shared" si="35"/>
        <v/>
      </c>
      <c r="CO41" s="238" t="str">
        <f t="shared" si="36"/>
        <v/>
      </c>
      <c r="CP41" s="238" t="str">
        <f t="shared" si="37"/>
        <v/>
      </c>
      <c r="CQ41" s="238">
        <f t="shared" si="38"/>
        <v>5</v>
      </c>
      <c r="CR41" s="238">
        <f t="shared" si="39"/>
        <v>5.8</v>
      </c>
      <c r="CS41" s="238">
        <f t="shared" si="40"/>
        <v>5.3</v>
      </c>
      <c r="CT41" s="240">
        <f t="shared" si="41"/>
        <v>5.78</v>
      </c>
      <c r="CU41" s="241">
        <f t="shared" si="42"/>
        <v>6.9</v>
      </c>
      <c r="CV41" s="241">
        <f t="shared" si="43"/>
        <v>7.3</v>
      </c>
      <c r="CW41" s="241">
        <f t="shared" si="44"/>
        <v>5.6</v>
      </c>
      <c r="CX41" s="241">
        <f t="shared" si="45"/>
        <v>7.7</v>
      </c>
      <c r="CY41" s="241" t="str">
        <f t="shared" si="46"/>
        <v/>
      </c>
      <c r="CZ41" s="241" t="str">
        <f t="shared" si="47"/>
        <v/>
      </c>
      <c r="DA41" s="241" t="str">
        <f t="shared" si="48"/>
        <v/>
      </c>
      <c r="DB41" s="241" t="str">
        <f t="shared" si="49"/>
        <v/>
      </c>
      <c r="DC41" s="241" t="str">
        <f t="shared" si="50"/>
        <v/>
      </c>
      <c r="DD41" s="241">
        <f t="shared" si="51"/>
        <v>5</v>
      </c>
      <c r="DE41" s="241">
        <f t="shared" si="52"/>
        <v>5.8</v>
      </c>
      <c r="DF41" s="241">
        <f t="shared" si="53"/>
        <v>5.3</v>
      </c>
      <c r="DG41" s="242">
        <f t="shared" si="9"/>
        <v>6.27</v>
      </c>
      <c r="DH41" s="82" t="str">
        <f t="shared" si="54"/>
        <v/>
      </c>
      <c r="DI41" s="82" t="str">
        <f t="shared" si="55"/>
        <v/>
      </c>
      <c r="DJ41" s="82" t="str">
        <f t="shared" si="56"/>
        <v/>
      </c>
      <c r="DK41" s="82" t="str">
        <f t="shared" si="57"/>
        <v/>
      </c>
      <c r="DL41" s="82" t="str">
        <f t="shared" si="58"/>
        <v/>
      </c>
      <c r="DM41" s="82" t="str">
        <f t="shared" si="59"/>
        <v/>
      </c>
      <c r="DN41" s="82" t="str">
        <f t="shared" si="60"/>
        <v/>
      </c>
      <c r="DO41" s="82" t="str">
        <f t="shared" si="61"/>
        <v/>
      </c>
      <c r="DP41" s="82" t="str">
        <f t="shared" si="62"/>
        <v/>
      </c>
      <c r="DQ41" s="82" t="str">
        <f t="shared" si="63"/>
        <v/>
      </c>
      <c r="DR41" s="82" t="str">
        <f t="shared" si="64"/>
        <v/>
      </c>
      <c r="DS41" s="253" t="str">
        <f t="shared" si="65"/>
        <v/>
      </c>
      <c r="DT41" s="250">
        <f t="shared" si="66"/>
        <v>6.9</v>
      </c>
      <c r="DU41" s="238">
        <f t="shared" si="67"/>
        <v>7.3</v>
      </c>
      <c r="DV41" s="238">
        <f t="shared" si="68"/>
        <v>5.6</v>
      </c>
      <c r="DW41" s="238">
        <f t="shared" si="69"/>
        <v>7.7</v>
      </c>
      <c r="DX41" s="238">
        <f t="shared" si="70"/>
        <v>3.3</v>
      </c>
      <c r="DY41" s="238" t="str">
        <f t="shared" si="71"/>
        <v/>
      </c>
      <c r="DZ41" s="238" t="str">
        <f t="shared" si="72"/>
        <v/>
      </c>
      <c r="EA41" s="238" t="str">
        <f t="shared" si="73"/>
        <v/>
      </c>
      <c r="EB41" s="238" t="str">
        <f t="shared" si="74"/>
        <v/>
      </c>
      <c r="EC41" s="238">
        <f t="shared" si="75"/>
        <v>5</v>
      </c>
      <c r="ED41" s="238">
        <f t="shared" si="76"/>
        <v>5.8</v>
      </c>
      <c r="EE41" s="238">
        <f t="shared" si="77"/>
        <v>5.3</v>
      </c>
      <c r="EF41" s="255" t="str">
        <f t="shared" si="78"/>
        <v/>
      </c>
      <c r="EG41" s="257">
        <f t="shared" si="79"/>
        <v>6.9</v>
      </c>
      <c r="EH41" s="257">
        <f t="shared" si="80"/>
        <v>7.3</v>
      </c>
      <c r="EI41" s="257">
        <f t="shared" si="81"/>
        <v>5.6</v>
      </c>
      <c r="EJ41" s="257">
        <f t="shared" si="82"/>
        <v>7.7</v>
      </c>
      <c r="EK41" s="257" t="str">
        <f t="shared" si="83"/>
        <v/>
      </c>
      <c r="EL41" s="257" t="str">
        <f t="shared" si="84"/>
        <v/>
      </c>
      <c r="EM41" s="257" t="str">
        <f t="shared" si="85"/>
        <v/>
      </c>
      <c r="EN41" s="257" t="str">
        <f t="shared" si="86"/>
        <v/>
      </c>
      <c r="EO41" s="257" t="str">
        <f t="shared" si="87"/>
        <v/>
      </c>
      <c r="EP41" s="257">
        <f t="shared" si="88"/>
        <v>5</v>
      </c>
      <c r="EQ41" s="257">
        <f t="shared" si="89"/>
        <v>5.8</v>
      </c>
      <c r="ER41" s="257">
        <f t="shared" si="90"/>
        <v>5.3</v>
      </c>
      <c r="ES41" s="262">
        <f t="shared" si="10"/>
        <v>6.27</v>
      </c>
      <c r="ET41" s="307">
        <f t="shared" si="91"/>
        <v>5.78</v>
      </c>
    </row>
    <row r="42" spans="1:150" s="89" customFormat="1" ht="30" customHeight="1">
      <c r="A42" s="272">
        <f>IF($B42="","",SUBTOTAL(3,$B$11:B42))</f>
        <v>32</v>
      </c>
      <c r="B42" s="457" t="s">
        <v>1586</v>
      </c>
      <c r="C42" s="76" t="str">
        <f>IF($B42="","",VLOOKUP($B42,'DS LOP HKI'!$B$2:$D$951,2,0))</f>
        <v>Nguyễn Khánh</v>
      </c>
      <c r="D42" s="77" t="str">
        <f>IF($B42="","",VLOOKUP($B42,'DS LOP HKI'!$B$2:$D$951,3,0))</f>
        <v>Linh</v>
      </c>
      <c r="E42" s="78"/>
      <c r="F42" s="79"/>
      <c r="G42" s="80">
        <v>1</v>
      </c>
      <c r="H42" s="81">
        <f>IF(OR($H$6="",$H$7=""),"",IF($B42="","",IF(ISNA(VLOOKUP($B42,'LT01'!$B$11:$M$80,12,FALSE)),"",IF(VLOOKUP($B42,'LT01'!$B$11:$M$80,12,FALSE)="","",VLOOKUP($B42,'LT01'!$B$11:$M$80,12,FALSE)))))</f>
        <v>7.5</v>
      </c>
      <c r="I42" s="82">
        <f>IF(OR($H$6="",$H$7=""),"",IF($B42="","",IF(ISNA(VLOOKUP($B42,'LT01'!$B$11:$N$80,13,FALSE)),"",VLOOKUP($B42,'LT01'!$B$11:$N$80,13,FALSE))))</f>
        <v>7.3</v>
      </c>
      <c r="J42" s="83"/>
      <c r="K42" s="84" t="str">
        <f>IF(OR($H$6="",$H$7=""),"",IF($B42="","",IF(ISNA(VLOOKUP($B42,'LT01'!$B$11:$Q$80,16,FALSE)),"",IF(VLOOKUP($B42,'LT01'!$B$11:$Q$80,16,FALSE)="","",VLOOKUP($B42,'LT01'!$B$11:$Q$80,16,FALSE)))))</f>
        <v/>
      </c>
      <c r="L42" s="85">
        <f>IF(OR($L$6="",$L$7=""),"",IF($B42="","",IF(ISNA(VLOOKUP($B42,'LT02'!$B$11:$M$80,12,FALSE)),"",IF(VLOOKUP($B42,'LT02'!$B$11:$M$80,12,FALSE)="","",VLOOKUP($B42,'LT02'!$B$11:$M$80,12,FALSE)))))</f>
        <v>8.3000000000000007</v>
      </c>
      <c r="M42" s="82">
        <f>IF(OR($L$6="",$L$7=""),"",IF($B42="","",IF(ISNA(VLOOKUP($B42,'LT02'!$B$11:$N$80,13,FALSE)),"",VLOOKUP($B42,'LT02'!$B$11:$N$80,13,FALSE))))</f>
        <v>8</v>
      </c>
      <c r="N42" s="83"/>
      <c r="O42" s="84" t="str">
        <f>IF(OR($L$6="",$L$7=""),"",IF($B42="","",IF(ISNA(VLOOKUP($B42,'LT02'!$B$11:$Q$80,16,FALSE)),"",VLOOKUP($B42,'LT02'!$B$11:$Q$80,16,FALSE))))</f>
        <v/>
      </c>
      <c r="P42" s="85">
        <f>IF(OR($P$6="",$P$7=""),"",IF($B42="","",IF(ISNA(VLOOKUP($B42,'LT03'!$B$11:$M$80,12,FALSE)),"",IF(VLOOKUP($B42,'LT03'!$B$11:$M$80,12,FALSE)="","",VLOOKUP($B42,'LT03'!$B$11:$M$80,12,FALSE)))))</f>
        <v>4.8</v>
      </c>
      <c r="Q42" s="82">
        <f>IF(OR($P$6="",$P$7=""),"",IF($B42="","",IF(ISNA(VLOOKUP($B42,'LT03'!$B$11:$N$80,13,FALSE)),"",VLOOKUP($B42,'LT03'!$B$11:$N$80,13,FALSE))))</f>
        <v>5.3</v>
      </c>
      <c r="R42" s="83"/>
      <c r="S42" s="84" t="str">
        <f>IF(OR($P$6="",$P$7=""),"",IF($B42="","",IF(ISNA(VLOOKUP($B42,'LT03'!$B$11:$Q$80,16,FALSE)),"",VLOOKUP($B42,'LT03'!$B$11:$Q$80,16,FALSE))))</f>
        <v/>
      </c>
      <c r="T42" s="85">
        <f>IF(OR($T$6="",$T$7=""),"",IF($B42="","",IF(ISNA(VLOOKUP($B42,'LT04'!$B$11:$M$80,12,FALSE)),"",IF(VLOOKUP($B42,'LT04'!$B$11:$M$80,12,FALSE)="","",VLOOKUP($B42,'LT04'!$B$11:$M$80,12,FALSE)))))</f>
        <v>8.5</v>
      </c>
      <c r="U42" s="82">
        <f>IF(OR($T$6="",$T$7=""),"",IF($B42="","",IF(ISNA(VLOOKUP($B42,'LT04'!$B$11:$N$80,13,FALSE)),"",VLOOKUP($B42,'LT04'!$B$11:$N$80,13,FALSE))))</f>
        <v>8</v>
      </c>
      <c r="V42" s="83"/>
      <c r="W42" s="84" t="str">
        <f>IF(OR($T$6="",$T$7=""),"",IF($B42="","",IF(ISNA(VLOOKUP($B42,'LT04'!$B$11:$Q$80,16,FALSE)),"",VLOOKUP($B42,'LT04'!$B$11:$Q$80,16,FALSE))))</f>
        <v/>
      </c>
      <c r="X42" s="85">
        <f>IF(OR($X$6="",$X$7=""),"",IF($B42="","",IF(ISNA(VLOOKUP($B42,'LT05'!$B$11:$M$80,12,FALSE)),"",IF(VLOOKUP($B42,'LT05'!$B$11:$M$80,12,FALSE)="","",VLOOKUP($B42,'LT05'!$B$11:$M$80,12,FALSE)))))</f>
        <v>2.5</v>
      </c>
      <c r="Y42" s="82">
        <f>IF(OR($X$6="",$X$7=""),"",IF($B42="","",IF(ISNA(VLOOKUP($B42,'LT05'!$B$11:$N$80,13,FALSE)),"",VLOOKUP($B42,'LT05'!$B$11:$N$80,13,FALSE))))</f>
        <v>3.3</v>
      </c>
      <c r="Z42" s="83"/>
      <c r="AA42" s="84" t="str">
        <f>IF(OR($X$6="",$X$7=""),"",IF($B42="","",IF(ISNA(VLOOKUP($B42,'LT05'!$B$11:$Q$80,16,FALSE)),"",VLOOKUP($B42,'LT05'!$B$11:$Q$80,16,FALSE))))</f>
        <v/>
      </c>
      <c r="AB42" s="85" t="str">
        <f>IF(OR($AB$6="",$AB$7=""),"",IF($B42="","",IF(ISNA(VLOOKUP($B42,'LT06'!$B$11:$M$80,12,FALSE)),"",IF(VLOOKUP($B42,'LT06'!$B$11:$M$80,12,FALSE)="","",VLOOKUP($B42,'LT06'!$B$11:$M$80,12,FALSE)))))</f>
        <v/>
      </c>
      <c r="AC42" s="82" t="str">
        <f>IF(OR($AB$6="",$AB$7=""),"",IF($B42="","",IF(ISNA(VLOOKUP($B42,'LT06'!$B$11:$N$80,13,FALSE)),"",VLOOKUP($B42,'LT06'!$B$11:$N$80,13,FALSE))))</f>
        <v/>
      </c>
      <c r="AD42" s="83"/>
      <c r="AE42" s="84" t="str">
        <f>IF(OR($AB$6="",$AB$7=""),"",IF($B42="","",IF(ISNA(VLOOKUP($B42,'LT06'!$B$11:$Q$80,16,FALSE)),"",VLOOKUP($B42,'LT06'!$B$11:$Q$80,16,FALSE))))</f>
        <v/>
      </c>
      <c r="AF42" s="85" t="str">
        <f>IF(OR($AF$6="",$AF$7=""),"",IF($B42="","",IF(ISNA(VLOOKUP($B42,'LT07'!$B$11:$M$80,12,FALSE)),"",IF(VLOOKUP($B42,'LT07'!$B$11:$M$80,12,FALSE)="","",VLOOKUP($B42,'LT07'!$B$11:$M$80,12,FALSE)))))</f>
        <v/>
      </c>
      <c r="AG42" s="82" t="str">
        <f>IF(OR($AF$6="",$AF$7=""),"",IF($B42="","",IF(ISNA(VLOOKUP($B42,'LT07'!$B$11:$N$80,13,FALSE)),"",VLOOKUP($B42,'LT07'!$B$11:$N$80,13,FALSE))))</f>
        <v/>
      </c>
      <c r="AH42" s="83"/>
      <c r="AI42" s="84" t="str">
        <f>IF(OR($AF$6="",$AF$7=""),"",IF($B42="","",IF(ISNA(VLOOKUP($B42,'LT07'!$B$11:$Q$80,16,FALSE)),"",VLOOKUP($B42,'LT07'!$B$11:$Q$80,16,FALSE))))</f>
        <v/>
      </c>
      <c r="AJ42" s="304"/>
      <c r="AK42" s="82" t="str">
        <f>IF(OR($AJ$6="",$AJ$7=""),"",IF($B42="","",IF(ISNA(VLOOKUP($B42,'DO AN'!$B$11:$L$80,11,FALSE)),"",IF(VLOOKUP($B42,'DO AN'!$B$11:$L$80,11,FALSE)="","",VLOOKUP($B42,'DO AN'!$B$11:$L$80,11,FALSE)))))</f>
        <v/>
      </c>
      <c r="AL42" s="83"/>
      <c r="AM42" s="451"/>
      <c r="AN42" s="83"/>
      <c r="AO42" s="82" t="str">
        <f>IF(OR($AN$6="",$AN$7=""),"",IF($B42="","",IF(ISNA(VLOOKUP($B42,'DO AN 2'!$B$11:$L$80,11,FALSE)),"",IF(VLOOKUP($B42,'DO AN 2'!$B$11:$L$80,11,FALSE)="","",VLOOKUP($B42,'DO AN 2'!$B$11:$L$80,11,FALSE)))))</f>
        <v/>
      </c>
      <c r="AP42" s="83"/>
      <c r="AQ42" s="83"/>
      <c r="AR42" s="454"/>
      <c r="AS42" s="82">
        <f>IF(OR($AR$6="",$AR$7=""),"",IF($B42="","",IF(ISNA(VLOOKUP($B42,'TH01'!$B$11:$O$80,14,FALSE)),"",VLOOKUP($B42,'TH01'!$B$11:$O$80,14,FALSE))))</f>
        <v>5</v>
      </c>
      <c r="AT42" s="83"/>
      <c r="AU42" s="303"/>
      <c r="AV42" s="304"/>
      <c r="AW42" s="82">
        <f>IF(OR($AV$6="",$AV$7=""),"",IF($B42="","",IF(ISNA(VLOOKUP($B42,'TH02'!$B$11:$O$80,14,FALSE)),"",VLOOKUP($B42,'TH02'!$B$11:$O$80,14,FALSE))))</f>
        <v>6</v>
      </c>
      <c r="AX42" s="83"/>
      <c r="AY42" s="303"/>
      <c r="AZ42" s="304"/>
      <c r="BA42" s="82">
        <f>IF(OR($AZ$6="",$AZ$7=""),"",IF($B42="","",IF(ISNA(VLOOKUP($B42,'TH03'!$B$11:$O$80,14,FALSE)),"",VLOOKUP($B42,'TH03'!$B$11:$O$80,14,FALSE))))</f>
        <v>7.3</v>
      </c>
      <c r="BB42" s="83"/>
      <c r="BC42" s="303"/>
      <c r="BD42" s="86">
        <f t="shared" si="11"/>
        <v>6.17</v>
      </c>
      <c r="BE42" s="86" t="str">
        <f t="shared" si="12"/>
        <v/>
      </c>
      <c r="BF42" s="87">
        <v>63</v>
      </c>
      <c r="BG42" s="88" t="str">
        <f t="shared" si="0"/>
        <v>T.Bình</v>
      </c>
      <c r="BH42" s="88" t="str">
        <f t="shared" si="1"/>
        <v/>
      </c>
      <c r="BI42" s="87"/>
      <c r="BJ42" s="86" t="str">
        <f t="shared" si="2"/>
        <v/>
      </c>
      <c r="BK42" s="265">
        <f t="shared" si="3"/>
        <v>15</v>
      </c>
      <c r="BL42" s="88">
        <f t="shared" si="4"/>
        <v>3</v>
      </c>
      <c r="BM42" s="88">
        <f t="shared" si="5"/>
        <v>15</v>
      </c>
      <c r="BN42" s="88">
        <f t="shared" si="6"/>
        <v>3</v>
      </c>
      <c r="BO42" s="86">
        <f t="shared" si="13"/>
        <v>6.74</v>
      </c>
      <c r="BP42" s="86" t="str">
        <f t="shared" si="7"/>
        <v>BT</v>
      </c>
      <c r="BQ42" s="86">
        <f t="shared" si="14"/>
        <v>6.74</v>
      </c>
      <c r="BR42" s="86" t="str">
        <f t="shared" si="8"/>
        <v>BT</v>
      </c>
      <c r="BS42" s="87"/>
      <c r="BT42" s="276">
        <f t="shared" si="15"/>
        <v>2</v>
      </c>
      <c r="BU42" s="238">
        <f t="shared" si="16"/>
        <v>7.5</v>
      </c>
      <c r="BV42" s="238">
        <f t="shared" si="17"/>
        <v>8.3000000000000007</v>
      </c>
      <c r="BW42" s="238">
        <f t="shared" si="18"/>
        <v>4.8</v>
      </c>
      <c r="BX42" s="238">
        <f t="shared" si="19"/>
        <v>8.5</v>
      </c>
      <c r="BY42" s="238">
        <f t="shared" si="20"/>
        <v>2.5</v>
      </c>
      <c r="BZ42" s="238" t="str">
        <f t="shared" si="21"/>
        <v/>
      </c>
      <c r="CA42" s="238" t="str">
        <f t="shared" si="22"/>
        <v/>
      </c>
      <c r="CB42" s="238" t="str">
        <f t="shared" si="23"/>
        <v/>
      </c>
      <c r="CC42" s="238" t="str">
        <f t="shared" si="24"/>
        <v/>
      </c>
      <c r="CD42" s="238">
        <f t="shared" si="25"/>
        <v>5</v>
      </c>
      <c r="CE42" s="238">
        <f t="shared" si="26"/>
        <v>6</v>
      </c>
      <c r="CF42" s="238">
        <f t="shared" si="27"/>
        <v>7.3</v>
      </c>
      <c r="CG42" s="239">
        <f t="shared" si="28"/>
        <v>1</v>
      </c>
      <c r="CH42" s="238">
        <f t="shared" si="29"/>
        <v>7.3</v>
      </c>
      <c r="CI42" s="238">
        <f t="shared" si="30"/>
        <v>8</v>
      </c>
      <c r="CJ42" s="238">
        <f t="shared" si="31"/>
        <v>5.3</v>
      </c>
      <c r="CK42" s="238">
        <f t="shared" si="32"/>
        <v>8</v>
      </c>
      <c r="CL42" s="238">
        <f t="shared" si="33"/>
        <v>3.3</v>
      </c>
      <c r="CM42" s="238" t="str">
        <f t="shared" si="34"/>
        <v/>
      </c>
      <c r="CN42" s="238" t="str">
        <f t="shared" si="35"/>
        <v/>
      </c>
      <c r="CO42" s="238" t="str">
        <f t="shared" si="36"/>
        <v/>
      </c>
      <c r="CP42" s="238" t="str">
        <f t="shared" si="37"/>
        <v/>
      </c>
      <c r="CQ42" s="238">
        <f t="shared" si="38"/>
        <v>5</v>
      </c>
      <c r="CR42" s="238">
        <f t="shared" si="39"/>
        <v>6</v>
      </c>
      <c r="CS42" s="238">
        <f t="shared" si="40"/>
        <v>7.3</v>
      </c>
      <c r="CT42" s="240">
        <f t="shared" si="41"/>
        <v>6.17</v>
      </c>
      <c r="CU42" s="241">
        <f t="shared" si="42"/>
        <v>7.3</v>
      </c>
      <c r="CV42" s="241">
        <f t="shared" si="43"/>
        <v>8</v>
      </c>
      <c r="CW42" s="241">
        <f t="shared" si="44"/>
        <v>5.3</v>
      </c>
      <c r="CX42" s="241">
        <f t="shared" si="45"/>
        <v>8</v>
      </c>
      <c r="CY42" s="241" t="str">
        <f t="shared" si="46"/>
        <v/>
      </c>
      <c r="CZ42" s="241" t="str">
        <f t="shared" si="47"/>
        <v/>
      </c>
      <c r="DA42" s="241" t="str">
        <f t="shared" si="48"/>
        <v/>
      </c>
      <c r="DB42" s="241" t="str">
        <f t="shared" si="49"/>
        <v/>
      </c>
      <c r="DC42" s="241" t="str">
        <f t="shared" si="50"/>
        <v/>
      </c>
      <c r="DD42" s="241">
        <f t="shared" si="51"/>
        <v>5</v>
      </c>
      <c r="DE42" s="241">
        <f t="shared" si="52"/>
        <v>6</v>
      </c>
      <c r="DF42" s="241">
        <f t="shared" si="53"/>
        <v>7.3</v>
      </c>
      <c r="DG42" s="242">
        <f t="shared" si="9"/>
        <v>6.74</v>
      </c>
      <c r="DH42" s="82" t="str">
        <f t="shared" si="54"/>
        <v/>
      </c>
      <c r="DI42" s="82" t="str">
        <f t="shared" si="55"/>
        <v/>
      </c>
      <c r="DJ42" s="82" t="str">
        <f t="shared" si="56"/>
        <v/>
      </c>
      <c r="DK42" s="82" t="str">
        <f t="shared" si="57"/>
        <v/>
      </c>
      <c r="DL42" s="82" t="str">
        <f t="shared" si="58"/>
        <v/>
      </c>
      <c r="DM42" s="82" t="str">
        <f t="shared" si="59"/>
        <v/>
      </c>
      <c r="DN42" s="82" t="str">
        <f t="shared" si="60"/>
        <v/>
      </c>
      <c r="DO42" s="82" t="str">
        <f t="shared" si="61"/>
        <v/>
      </c>
      <c r="DP42" s="82" t="str">
        <f t="shared" si="62"/>
        <v/>
      </c>
      <c r="DQ42" s="82" t="str">
        <f t="shared" si="63"/>
        <v/>
      </c>
      <c r="DR42" s="82" t="str">
        <f t="shared" si="64"/>
        <v/>
      </c>
      <c r="DS42" s="253" t="str">
        <f t="shared" si="65"/>
        <v/>
      </c>
      <c r="DT42" s="250">
        <f t="shared" si="66"/>
        <v>7.3</v>
      </c>
      <c r="DU42" s="238">
        <f t="shared" si="67"/>
        <v>8</v>
      </c>
      <c r="DV42" s="238">
        <f t="shared" si="68"/>
        <v>5.3</v>
      </c>
      <c r="DW42" s="238">
        <f t="shared" si="69"/>
        <v>8</v>
      </c>
      <c r="DX42" s="238">
        <f t="shared" si="70"/>
        <v>3.3</v>
      </c>
      <c r="DY42" s="238" t="str">
        <f t="shared" si="71"/>
        <v/>
      </c>
      <c r="DZ42" s="238" t="str">
        <f t="shared" si="72"/>
        <v/>
      </c>
      <c r="EA42" s="238" t="str">
        <f t="shared" si="73"/>
        <v/>
      </c>
      <c r="EB42" s="238" t="str">
        <f t="shared" si="74"/>
        <v/>
      </c>
      <c r="EC42" s="238">
        <f t="shared" si="75"/>
        <v>5</v>
      </c>
      <c r="ED42" s="238">
        <f t="shared" si="76"/>
        <v>6</v>
      </c>
      <c r="EE42" s="238">
        <f t="shared" si="77"/>
        <v>7.3</v>
      </c>
      <c r="EF42" s="255" t="str">
        <f t="shared" si="78"/>
        <v/>
      </c>
      <c r="EG42" s="257">
        <f t="shared" si="79"/>
        <v>7.3</v>
      </c>
      <c r="EH42" s="257">
        <f t="shared" si="80"/>
        <v>8</v>
      </c>
      <c r="EI42" s="257">
        <f t="shared" si="81"/>
        <v>5.3</v>
      </c>
      <c r="EJ42" s="257">
        <f t="shared" si="82"/>
        <v>8</v>
      </c>
      <c r="EK42" s="257" t="str">
        <f t="shared" si="83"/>
        <v/>
      </c>
      <c r="EL42" s="257" t="str">
        <f t="shared" si="84"/>
        <v/>
      </c>
      <c r="EM42" s="257" t="str">
        <f t="shared" si="85"/>
        <v/>
      </c>
      <c r="EN42" s="257" t="str">
        <f t="shared" si="86"/>
        <v/>
      </c>
      <c r="EO42" s="257" t="str">
        <f t="shared" si="87"/>
        <v/>
      </c>
      <c r="EP42" s="257">
        <f t="shared" si="88"/>
        <v>5</v>
      </c>
      <c r="EQ42" s="257">
        <f t="shared" si="89"/>
        <v>6</v>
      </c>
      <c r="ER42" s="257">
        <f t="shared" si="90"/>
        <v>7.3</v>
      </c>
      <c r="ES42" s="262">
        <f t="shared" si="10"/>
        <v>6.74</v>
      </c>
      <c r="ET42" s="307">
        <f t="shared" si="91"/>
        <v>6.17</v>
      </c>
    </row>
    <row r="43" spans="1:150" s="89" customFormat="1" ht="30" customHeight="1">
      <c r="A43" s="272">
        <f>IF($B43="","",SUBTOTAL(3,$B$11:B43))</f>
        <v>33</v>
      </c>
      <c r="B43" s="457" t="s">
        <v>1587</v>
      </c>
      <c r="C43" s="76" t="str">
        <f>IF($B43="","",VLOOKUP($B43,'DS LOP HKI'!$B$2:$D$951,2,0))</f>
        <v>Đỗ Văn</v>
      </c>
      <c r="D43" s="77" t="str">
        <f>IF($B43="","",VLOOKUP($B43,'DS LOP HKI'!$B$2:$D$951,3,0))</f>
        <v>Lượng</v>
      </c>
      <c r="E43" s="78"/>
      <c r="F43" s="79"/>
      <c r="G43" s="80"/>
      <c r="H43" s="81">
        <f>IF(OR($H$6="",$H$7=""),"",IF($B43="","",IF(ISNA(VLOOKUP($B43,'LT01'!$B$11:$M$80,12,FALSE)),"",IF(VLOOKUP($B43,'LT01'!$B$11:$M$80,12,FALSE)="","",VLOOKUP($B43,'LT01'!$B$11:$M$80,12,FALSE)))))</f>
        <v>7</v>
      </c>
      <c r="I43" s="82">
        <f>IF(OR($H$6="",$H$7=""),"",IF($B43="","",IF(ISNA(VLOOKUP($B43,'LT01'!$B$11:$N$80,13,FALSE)),"",VLOOKUP($B43,'LT01'!$B$11:$N$80,13,FALSE))))</f>
        <v>6.8</v>
      </c>
      <c r="J43" s="83"/>
      <c r="K43" s="84" t="str">
        <f>IF(OR($H$6="",$H$7=""),"",IF($B43="","",IF(ISNA(VLOOKUP($B43,'LT01'!$B$11:$Q$80,16,FALSE)),"",IF(VLOOKUP($B43,'LT01'!$B$11:$Q$80,16,FALSE)="","",VLOOKUP($B43,'LT01'!$B$11:$Q$80,16,FALSE)))))</f>
        <v/>
      </c>
      <c r="L43" s="85">
        <f>IF(OR($L$6="",$L$7=""),"",IF($B43="","",IF(ISNA(VLOOKUP($B43,'LT02'!$B$11:$M$80,12,FALSE)),"",IF(VLOOKUP($B43,'LT02'!$B$11:$M$80,12,FALSE)="","",VLOOKUP($B43,'LT02'!$B$11:$M$80,12,FALSE)))))</f>
        <v>7.8</v>
      </c>
      <c r="M43" s="82">
        <f>IF(OR($L$6="",$L$7=""),"",IF($B43="","",IF(ISNA(VLOOKUP($B43,'LT02'!$B$11:$N$80,13,FALSE)),"",VLOOKUP($B43,'LT02'!$B$11:$N$80,13,FALSE))))</f>
        <v>6.8</v>
      </c>
      <c r="N43" s="83"/>
      <c r="O43" s="84" t="str">
        <f>IF(OR($L$6="",$L$7=""),"",IF($B43="","",IF(ISNA(VLOOKUP($B43,'LT02'!$B$11:$Q$80,16,FALSE)),"",VLOOKUP($B43,'LT02'!$B$11:$Q$80,16,FALSE))))</f>
        <v/>
      </c>
      <c r="P43" s="85">
        <f>IF(OR($P$6="",$P$7=""),"",IF($B43="","",IF(ISNA(VLOOKUP($B43,'LT03'!$B$11:$M$80,12,FALSE)),"",IF(VLOOKUP($B43,'LT03'!$B$11:$M$80,12,FALSE)="","",VLOOKUP($B43,'LT03'!$B$11:$M$80,12,FALSE)))))</f>
        <v>2.2999999999999998</v>
      </c>
      <c r="Q43" s="82">
        <f>IF(OR($P$6="",$P$7=""),"",IF($B43="","",IF(ISNA(VLOOKUP($B43,'LT03'!$B$11:$N$80,13,FALSE)),"",VLOOKUP($B43,'LT03'!$B$11:$N$80,13,FALSE))))</f>
        <v>4.0999999999999996</v>
      </c>
      <c r="R43" s="83"/>
      <c r="S43" s="84" t="str">
        <f>IF(OR($P$6="",$P$7=""),"",IF($B43="","",IF(ISNA(VLOOKUP($B43,'LT03'!$B$11:$Q$80,16,FALSE)),"",VLOOKUP($B43,'LT03'!$B$11:$Q$80,16,FALSE))))</f>
        <v/>
      </c>
      <c r="T43" s="85">
        <f>IF(OR($T$6="",$T$7=""),"",IF($B43="","",IF(ISNA(VLOOKUP($B43,'LT04'!$B$11:$M$80,12,FALSE)),"",IF(VLOOKUP($B43,'LT04'!$B$11:$M$80,12,FALSE)="","",VLOOKUP($B43,'LT04'!$B$11:$M$80,12,FALSE)))))</f>
        <v>5.8</v>
      </c>
      <c r="U43" s="82">
        <f>IF(OR($T$6="",$T$7=""),"",IF($B43="","",IF(ISNA(VLOOKUP($B43,'LT04'!$B$11:$N$80,13,FALSE)),"",VLOOKUP($B43,'LT04'!$B$11:$N$80,13,FALSE))))</f>
        <v>6.5</v>
      </c>
      <c r="V43" s="83"/>
      <c r="W43" s="84" t="str">
        <f>IF(OR($T$6="",$T$7=""),"",IF($B43="","",IF(ISNA(VLOOKUP($B43,'LT04'!$B$11:$Q$80,16,FALSE)),"",VLOOKUP($B43,'LT04'!$B$11:$Q$80,16,FALSE))))</f>
        <v/>
      </c>
      <c r="X43" s="85">
        <f>IF(OR($X$6="",$X$7=""),"",IF($B43="","",IF(ISNA(VLOOKUP($B43,'LT05'!$B$11:$M$80,12,FALSE)),"",IF(VLOOKUP($B43,'LT05'!$B$11:$M$80,12,FALSE)="","",VLOOKUP($B43,'LT05'!$B$11:$M$80,12,FALSE)))))</f>
        <v>2.8</v>
      </c>
      <c r="Y43" s="82">
        <f>IF(OR($X$6="",$X$7=""),"",IF($B43="","",IF(ISNA(VLOOKUP($B43,'LT05'!$B$11:$N$80,13,FALSE)),"",VLOOKUP($B43,'LT05'!$B$11:$N$80,13,FALSE))))</f>
        <v>3.5</v>
      </c>
      <c r="Z43" s="83"/>
      <c r="AA43" s="84" t="str">
        <f>IF(OR($X$6="",$X$7=""),"",IF($B43="","",IF(ISNA(VLOOKUP($B43,'LT05'!$B$11:$Q$80,16,FALSE)),"",VLOOKUP($B43,'LT05'!$B$11:$Q$80,16,FALSE))))</f>
        <v/>
      </c>
      <c r="AB43" s="85" t="str">
        <f>IF(OR($AB$6="",$AB$7=""),"",IF($B43="","",IF(ISNA(VLOOKUP($B43,'LT06'!$B$11:$M$80,12,FALSE)),"",IF(VLOOKUP($B43,'LT06'!$B$11:$M$80,12,FALSE)="","",VLOOKUP($B43,'LT06'!$B$11:$M$80,12,FALSE)))))</f>
        <v/>
      </c>
      <c r="AC43" s="82" t="str">
        <f>IF(OR($AB$6="",$AB$7=""),"",IF($B43="","",IF(ISNA(VLOOKUP($B43,'LT06'!$B$11:$N$80,13,FALSE)),"",VLOOKUP($B43,'LT06'!$B$11:$N$80,13,FALSE))))</f>
        <v/>
      </c>
      <c r="AD43" s="83"/>
      <c r="AE43" s="84" t="str">
        <f>IF(OR($AB$6="",$AB$7=""),"",IF($B43="","",IF(ISNA(VLOOKUP($B43,'LT06'!$B$11:$Q$80,16,FALSE)),"",VLOOKUP($B43,'LT06'!$B$11:$Q$80,16,FALSE))))</f>
        <v/>
      </c>
      <c r="AF43" s="85" t="str">
        <f>IF(OR($AF$6="",$AF$7=""),"",IF($B43="","",IF(ISNA(VLOOKUP($B43,'LT07'!$B$11:$M$80,12,FALSE)),"",IF(VLOOKUP($B43,'LT07'!$B$11:$M$80,12,FALSE)="","",VLOOKUP($B43,'LT07'!$B$11:$M$80,12,FALSE)))))</f>
        <v/>
      </c>
      <c r="AG43" s="82" t="str">
        <f>IF(OR($AF$6="",$AF$7=""),"",IF($B43="","",IF(ISNA(VLOOKUP($B43,'LT07'!$B$11:$N$80,13,FALSE)),"",VLOOKUP($B43,'LT07'!$B$11:$N$80,13,FALSE))))</f>
        <v/>
      </c>
      <c r="AH43" s="83"/>
      <c r="AI43" s="84" t="str">
        <f>IF(OR($AF$6="",$AF$7=""),"",IF($B43="","",IF(ISNA(VLOOKUP($B43,'LT07'!$B$11:$Q$80,16,FALSE)),"",VLOOKUP($B43,'LT07'!$B$11:$Q$80,16,FALSE))))</f>
        <v/>
      </c>
      <c r="AJ43" s="304"/>
      <c r="AK43" s="82" t="str">
        <f>IF(OR($AJ$6="",$AJ$7=""),"",IF($B43="","",IF(ISNA(VLOOKUP($B43,'DO AN'!$B$11:$L$80,11,FALSE)),"",IF(VLOOKUP($B43,'DO AN'!$B$11:$L$80,11,FALSE)="","",VLOOKUP($B43,'DO AN'!$B$11:$L$80,11,FALSE)))))</f>
        <v/>
      </c>
      <c r="AL43" s="83"/>
      <c r="AM43" s="451"/>
      <c r="AN43" s="83"/>
      <c r="AO43" s="82" t="str">
        <f>IF(OR($AN$6="",$AN$7=""),"",IF($B43="","",IF(ISNA(VLOOKUP($B43,'DO AN 2'!$B$11:$L$80,11,FALSE)),"",IF(VLOOKUP($B43,'DO AN 2'!$B$11:$L$80,11,FALSE)="","",VLOOKUP($B43,'DO AN 2'!$B$11:$L$80,11,FALSE)))))</f>
        <v/>
      </c>
      <c r="AP43" s="83"/>
      <c r="AQ43" s="83"/>
      <c r="AR43" s="454"/>
      <c r="AS43" s="82">
        <f>IF(OR($AR$6="",$AR$7=""),"",IF($B43="","",IF(ISNA(VLOOKUP($B43,'TH01'!$B$11:$O$80,14,FALSE)),"",VLOOKUP($B43,'TH01'!$B$11:$O$80,14,FALSE))))</f>
        <v>5</v>
      </c>
      <c r="AT43" s="83"/>
      <c r="AU43" s="303"/>
      <c r="AV43" s="304"/>
      <c r="AW43" s="82">
        <f>IF(OR($AV$6="",$AV$7=""),"",IF($B43="","",IF(ISNA(VLOOKUP($B43,'TH02'!$B$11:$O$80,14,FALSE)),"",VLOOKUP($B43,'TH02'!$B$11:$O$80,14,FALSE))))</f>
        <v>6.5</v>
      </c>
      <c r="AX43" s="83"/>
      <c r="AY43" s="303"/>
      <c r="AZ43" s="304"/>
      <c r="BA43" s="82">
        <f>IF(OR($AZ$6="",$AZ$7=""),"",IF($B43="","",IF(ISNA(VLOOKUP($B43,'TH03'!$B$11:$O$80,14,FALSE)),"",VLOOKUP($B43,'TH03'!$B$11:$O$80,14,FALSE))))</f>
        <v>6.8</v>
      </c>
      <c r="BB43" s="83"/>
      <c r="BC43" s="303"/>
      <c r="BD43" s="86">
        <f t="shared" si="11"/>
        <v>5.68</v>
      </c>
      <c r="BE43" s="86" t="str">
        <f t="shared" si="12"/>
        <v/>
      </c>
      <c r="BF43" s="87">
        <v>57</v>
      </c>
      <c r="BG43" s="88" t="str">
        <f t="shared" ref="BG43:BG74" si="92">IF($BD43="","",IF($B43="","",IF($BD43&lt;4,"Kém",IF($BD43&lt;5.5,"TB Yếu",IF($BD43&lt;7,"T.Bình",IF($BD43&lt;8,"Khá",IF($BD43&lt;9,"Giỏi","SX")))))))</f>
        <v>T.Bình</v>
      </c>
      <c r="BH43" s="88" t="str">
        <f t="shared" ref="BH43:BH74" si="93">IF($BE43="","",IF($B43="","",IF($BE43&lt;4,"Kém",IF($BE43&lt;5.5,"TB Yếu",IF($BE43&lt;7,"T.Bình",IF($BE43&lt;8,"Khá",IF($BE43&lt;9,"Giỏi","SX")))))))</f>
        <v/>
      </c>
      <c r="BI43" s="87"/>
      <c r="BJ43" s="86" t="str">
        <f t="shared" ref="BJ43:BJ74" si="94">IF($BD43&gt;=4,"",IF(AND($BD43&lt;4,$BE43="",COUNT($DH43:$DS43)=0),"Cảnh Báo",IF($BE43&lt;4,"Cảnh Báo","")))</f>
        <v/>
      </c>
      <c r="BK43" s="265">
        <f t="shared" ref="BK43:BK74" si="95">IF($B43="","",IF(COUNT($CH43:$CS43)=0,"",SUMIF($CH43:$CS43,"&gt;=4",$CH$7:$CS$7)))</f>
        <v>15</v>
      </c>
      <c r="BL43" s="88">
        <f t="shared" ref="BL43:BL74" si="96">IF($B43="","",IF(COUNT($CH43:$CS43=0),"",SUMIF($CH43:$CS43,"&lt;4",$CH$7:$CS$7)))</f>
        <v>3</v>
      </c>
      <c r="BM43" s="88">
        <f t="shared" ref="BM43:BM74" si="97">IF(AND($BE43="",$B43=""),"",SUMIF($DT43:$EE43,"&gt;=4",$DT$7:$EE$7))</f>
        <v>15</v>
      </c>
      <c r="BN43" s="88">
        <f t="shared" ref="BN43:BN74" si="98">IF(AND($BE43="",$B43=""),"",SUMIF($DT43:$EE43,"&lt;4",$DT$7:$EE$7))</f>
        <v>3</v>
      </c>
      <c r="BO43" s="86">
        <f t="shared" si="13"/>
        <v>6.12</v>
      </c>
      <c r="BP43" s="86" t="str">
        <f t="shared" ref="BP43:BP74" si="99">IF($B43="","",IF($BO43&gt;=5.5,"BT","Yếu"))</f>
        <v>BT</v>
      </c>
      <c r="BQ43" s="86">
        <f t="shared" si="14"/>
        <v>6.12</v>
      </c>
      <c r="BR43" s="86" t="str">
        <f t="shared" ref="BR43:BR74" si="100">IF($B43="","",IF($BQ43&gt;=5.5,"BT","Yếu"))</f>
        <v>BT</v>
      </c>
      <c r="BS43" s="87"/>
      <c r="BT43" s="276">
        <f t="shared" si="15"/>
        <v>2</v>
      </c>
      <c r="BU43" s="238">
        <f t="shared" si="16"/>
        <v>7</v>
      </c>
      <c r="BV43" s="238">
        <f t="shared" si="17"/>
        <v>7.8</v>
      </c>
      <c r="BW43" s="238">
        <f t="shared" si="18"/>
        <v>2.2999999999999998</v>
      </c>
      <c r="BX43" s="238">
        <f t="shared" si="19"/>
        <v>5.8</v>
      </c>
      <c r="BY43" s="238">
        <f t="shared" si="20"/>
        <v>2.8</v>
      </c>
      <c r="BZ43" s="238" t="str">
        <f t="shared" si="21"/>
        <v/>
      </c>
      <c r="CA43" s="238" t="str">
        <f t="shared" si="22"/>
        <v/>
      </c>
      <c r="CB43" s="238" t="str">
        <f t="shared" si="23"/>
        <v/>
      </c>
      <c r="CC43" s="238" t="str">
        <f t="shared" si="24"/>
        <v/>
      </c>
      <c r="CD43" s="238">
        <f t="shared" si="25"/>
        <v>5</v>
      </c>
      <c r="CE43" s="238">
        <f t="shared" si="26"/>
        <v>6.5</v>
      </c>
      <c r="CF43" s="238">
        <f t="shared" si="27"/>
        <v>6.8</v>
      </c>
      <c r="CG43" s="239">
        <f t="shared" si="28"/>
        <v>1</v>
      </c>
      <c r="CH43" s="238">
        <f t="shared" si="29"/>
        <v>6.8</v>
      </c>
      <c r="CI43" s="238">
        <f t="shared" si="30"/>
        <v>6.8</v>
      </c>
      <c r="CJ43" s="238">
        <f t="shared" si="31"/>
        <v>4.0999999999999996</v>
      </c>
      <c r="CK43" s="238">
        <f t="shared" si="32"/>
        <v>6.5</v>
      </c>
      <c r="CL43" s="238">
        <f t="shared" si="33"/>
        <v>3.5</v>
      </c>
      <c r="CM43" s="238" t="str">
        <f t="shared" si="34"/>
        <v/>
      </c>
      <c r="CN43" s="238" t="str">
        <f t="shared" si="35"/>
        <v/>
      </c>
      <c r="CO43" s="238" t="str">
        <f t="shared" si="36"/>
        <v/>
      </c>
      <c r="CP43" s="238" t="str">
        <f t="shared" si="37"/>
        <v/>
      </c>
      <c r="CQ43" s="238">
        <f t="shared" si="38"/>
        <v>5</v>
      </c>
      <c r="CR43" s="238">
        <f t="shared" si="39"/>
        <v>6.5</v>
      </c>
      <c r="CS43" s="238">
        <f t="shared" si="40"/>
        <v>6.8</v>
      </c>
      <c r="CT43" s="240">
        <f t="shared" si="41"/>
        <v>5.68</v>
      </c>
      <c r="CU43" s="241">
        <f t="shared" si="42"/>
        <v>6.8</v>
      </c>
      <c r="CV43" s="241">
        <f t="shared" si="43"/>
        <v>6.8</v>
      </c>
      <c r="CW43" s="241">
        <f t="shared" si="44"/>
        <v>4.0999999999999996</v>
      </c>
      <c r="CX43" s="241">
        <f t="shared" si="45"/>
        <v>6.5</v>
      </c>
      <c r="CY43" s="241" t="str">
        <f t="shared" si="46"/>
        <v/>
      </c>
      <c r="CZ43" s="241" t="str">
        <f t="shared" si="47"/>
        <v/>
      </c>
      <c r="DA43" s="241" t="str">
        <f t="shared" si="48"/>
        <v/>
      </c>
      <c r="DB43" s="241" t="str">
        <f t="shared" si="49"/>
        <v/>
      </c>
      <c r="DC43" s="241" t="str">
        <f t="shared" si="50"/>
        <v/>
      </c>
      <c r="DD43" s="241">
        <f t="shared" si="51"/>
        <v>5</v>
      </c>
      <c r="DE43" s="241">
        <f t="shared" si="52"/>
        <v>6.5</v>
      </c>
      <c r="DF43" s="241">
        <f t="shared" si="53"/>
        <v>6.8</v>
      </c>
      <c r="DG43" s="242">
        <f t="shared" ref="DG43:DG74" si="101">IF($B43="","",IF(COUNT($CU43:$DF43)=0,0,ROUND(SUMPRODUCT($CU43:$DF43,$CU$7:$DF$7)/SUMIF($CU43:$DF43,"&gt;=4",$CU$7:$DF$7),2)))</f>
        <v>6.12</v>
      </c>
      <c r="DH43" s="82" t="str">
        <f t="shared" si="54"/>
        <v/>
      </c>
      <c r="DI43" s="82" t="str">
        <f t="shared" si="55"/>
        <v/>
      </c>
      <c r="DJ43" s="82" t="str">
        <f t="shared" si="56"/>
        <v/>
      </c>
      <c r="DK43" s="82" t="str">
        <f t="shared" si="57"/>
        <v/>
      </c>
      <c r="DL43" s="82" t="str">
        <f t="shared" si="58"/>
        <v/>
      </c>
      <c r="DM43" s="82" t="str">
        <f t="shared" si="59"/>
        <v/>
      </c>
      <c r="DN43" s="82" t="str">
        <f t="shared" si="60"/>
        <v/>
      </c>
      <c r="DO43" s="82" t="str">
        <f t="shared" si="61"/>
        <v/>
      </c>
      <c r="DP43" s="82" t="str">
        <f t="shared" si="62"/>
        <v/>
      </c>
      <c r="DQ43" s="82" t="str">
        <f t="shared" si="63"/>
        <v/>
      </c>
      <c r="DR43" s="82" t="str">
        <f t="shared" si="64"/>
        <v/>
      </c>
      <c r="DS43" s="253" t="str">
        <f t="shared" si="65"/>
        <v/>
      </c>
      <c r="DT43" s="250">
        <f t="shared" si="66"/>
        <v>6.8</v>
      </c>
      <c r="DU43" s="238">
        <f t="shared" si="67"/>
        <v>6.8</v>
      </c>
      <c r="DV43" s="238">
        <f t="shared" si="68"/>
        <v>4.0999999999999996</v>
      </c>
      <c r="DW43" s="238">
        <f t="shared" si="69"/>
        <v>6.5</v>
      </c>
      <c r="DX43" s="238">
        <f t="shared" si="70"/>
        <v>3.5</v>
      </c>
      <c r="DY43" s="238" t="str">
        <f t="shared" si="71"/>
        <v/>
      </c>
      <c r="DZ43" s="238" t="str">
        <f t="shared" si="72"/>
        <v/>
      </c>
      <c r="EA43" s="238" t="str">
        <f t="shared" si="73"/>
        <v/>
      </c>
      <c r="EB43" s="238" t="str">
        <f t="shared" si="74"/>
        <v/>
      </c>
      <c r="EC43" s="238">
        <f t="shared" si="75"/>
        <v>5</v>
      </c>
      <c r="ED43" s="238">
        <f t="shared" si="76"/>
        <v>6.5</v>
      </c>
      <c r="EE43" s="238">
        <f t="shared" si="77"/>
        <v>6.8</v>
      </c>
      <c r="EF43" s="255" t="str">
        <f t="shared" si="78"/>
        <v/>
      </c>
      <c r="EG43" s="257">
        <f t="shared" si="79"/>
        <v>6.8</v>
      </c>
      <c r="EH43" s="257">
        <f t="shared" si="80"/>
        <v>6.8</v>
      </c>
      <c r="EI43" s="257">
        <f t="shared" si="81"/>
        <v>4.0999999999999996</v>
      </c>
      <c r="EJ43" s="257">
        <f t="shared" si="82"/>
        <v>6.5</v>
      </c>
      <c r="EK43" s="257" t="str">
        <f t="shared" si="83"/>
        <v/>
      </c>
      <c r="EL43" s="257" t="str">
        <f t="shared" si="84"/>
        <v/>
      </c>
      <c r="EM43" s="257" t="str">
        <f t="shared" si="85"/>
        <v/>
      </c>
      <c r="EN43" s="257" t="str">
        <f t="shared" si="86"/>
        <v/>
      </c>
      <c r="EO43" s="257" t="str">
        <f t="shared" si="87"/>
        <v/>
      </c>
      <c r="EP43" s="257">
        <f t="shared" si="88"/>
        <v>5</v>
      </c>
      <c r="EQ43" s="257">
        <f t="shared" si="89"/>
        <v>6.5</v>
      </c>
      <c r="ER43" s="257">
        <f t="shared" si="90"/>
        <v>6.8</v>
      </c>
      <c r="ES43" s="262">
        <f t="shared" ref="ES43:ES74" si="102">IF($B43="","",IF(COUNT($EG43:$ER43)=0,0,ROUND(SUMPRODUCT($EG43:$ER43,$EG$7:$ER$7)/SUMIF($EG43:$ER43,"&gt;=4",$EG$7:$ER$7),2)))</f>
        <v>6.12</v>
      </c>
      <c r="ET43" s="307">
        <f t="shared" si="91"/>
        <v>5.68</v>
      </c>
    </row>
    <row r="44" spans="1:150" s="89" customFormat="1" ht="30" customHeight="1">
      <c r="A44" s="272">
        <f>IF($B44="","",SUBTOTAL(3,$B$11:B44))</f>
        <v>34</v>
      </c>
      <c r="B44" s="457" t="s">
        <v>1589</v>
      </c>
      <c r="C44" s="76" t="str">
        <f>IF($B44="","",VLOOKUP($B44,'DS LOP HKI'!$B$2:$D$951,2,0))</f>
        <v>Mai Đình</v>
      </c>
      <c r="D44" s="77" t="str">
        <f>IF($B44="","",VLOOKUP($B44,'DS LOP HKI'!$B$2:$D$951,3,0))</f>
        <v>Luyện</v>
      </c>
      <c r="E44" s="78"/>
      <c r="F44" s="79"/>
      <c r="G44" s="80">
        <v>6</v>
      </c>
      <c r="H44" s="81">
        <f>IF(OR($H$6="",$H$7=""),"",IF($B44="","",IF(ISNA(VLOOKUP($B44,'LT01'!$B$11:$M$80,12,FALSE)),"",IF(VLOOKUP($B44,'LT01'!$B$11:$M$80,12,FALSE)="","",VLOOKUP($B44,'LT01'!$B$11:$M$80,12,FALSE)))))</f>
        <v>7</v>
      </c>
      <c r="I44" s="82">
        <f>IF(OR($H$6="",$H$7=""),"",IF($B44="","",IF(ISNA(VLOOKUP($B44,'LT01'!$B$11:$N$80,13,FALSE)),"",VLOOKUP($B44,'LT01'!$B$11:$N$80,13,FALSE))))</f>
        <v>7</v>
      </c>
      <c r="J44" s="83"/>
      <c r="K44" s="84" t="str">
        <f>IF(OR($H$6="",$H$7=""),"",IF($B44="","",IF(ISNA(VLOOKUP($B44,'LT01'!$B$11:$Q$80,16,FALSE)),"",IF(VLOOKUP($B44,'LT01'!$B$11:$Q$80,16,FALSE)="","",VLOOKUP($B44,'LT01'!$B$11:$Q$80,16,FALSE)))))</f>
        <v/>
      </c>
      <c r="L44" s="85">
        <f>IF(OR($L$6="",$L$7=""),"",IF($B44="","",IF(ISNA(VLOOKUP($B44,'LT02'!$B$11:$M$80,12,FALSE)),"",IF(VLOOKUP($B44,'LT02'!$B$11:$M$80,12,FALSE)="","",VLOOKUP($B44,'LT02'!$B$11:$M$80,12,FALSE)))))</f>
        <v>5.5</v>
      </c>
      <c r="M44" s="82">
        <f>IF(OR($L$6="",$L$7=""),"",IF($B44="","",IF(ISNA(VLOOKUP($B44,'LT02'!$B$11:$N$80,13,FALSE)),"",VLOOKUP($B44,'LT02'!$B$11:$N$80,13,FALSE))))</f>
        <v>6</v>
      </c>
      <c r="N44" s="83"/>
      <c r="O44" s="84" t="str">
        <f>IF(OR($L$6="",$L$7=""),"",IF($B44="","",IF(ISNA(VLOOKUP($B44,'LT02'!$B$11:$Q$80,16,FALSE)),"",VLOOKUP($B44,'LT02'!$B$11:$Q$80,16,FALSE))))</f>
        <v/>
      </c>
      <c r="P44" s="85">
        <f>IF(OR($P$6="",$P$7=""),"",IF($B44="","",IF(ISNA(VLOOKUP($B44,'LT03'!$B$11:$M$80,12,FALSE)),"",IF(VLOOKUP($B44,'LT03'!$B$11:$M$80,12,FALSE)="","",VLOOKUP($B44,'LT03'!$B$11:$M$80,12,FALSE)))))</f>
        <v>4.8</v>
      </c>
      <c r="Q44" s="82">
        <f>IF(OR($P$6="",$P$7=""),"",IF($B44="","",IF(ISNA(VLOOKUP($B44,'LT03'!$B$11:$N$80,13,FALSE)),"",VLOOKUP($B44,'LT03'!$B$11:$N$80,13,FALSE))))</f>
        <v>4.9000000000000004</v>
      </c>
      <c r="R44" s="83"/>
      <c r="S44" s="84" t="str">
        <f>IF(OR($P$6="",$P$7=""),"",IF($B44="","",IF(ISNA(VLOOKUP($B44,'LT03'!$B$11:$Q$80,16,FALSE)),"",VLOOKUP($B44,'LT03'!$B$11:$Q$80,16,FALSE))))</f>
        <v/>
      </c>
      <c r="T44" s="85">
        <f>IF(OR($T$6="",$T$7=""),"",IF($B44="","",IF(ISNA(VLOOKUP($B44,'LT04'!$B$11:$M$80,12,FALSE)),"",IF(VLOOKUP($B44,'LT04'!$B$11:$M$80,12,FALSE)="","",VLOOKUP($B44,'LT04'!$B$11:$M$80,12,FALSE)))))</f>
        <v>5.8</v>
      </c>
      <c r="U44" s="82">
        <f>IF(OR($T$6="",$T$7=""),"",IF($B44="","",IF(ISNA(VLOOKUP($B44,'LT04'!$B$11:$N$80,13,FALSE)),"",VLOOKUP($B44,'LT04'!$B$11:$N$80,13,FALSE))))</f>
        <v>6.4</v>
      </c>
      <c r="V44" s="83"/>
      <c r="W44" s="84" t="str">
        <f>IF(OR($T$6="",$T$7=""),"",IF($B44="","",IF(ISNA(VLOOKUP($B44,'LT04'!$B$11:$Q$80,16,FALSE)),"",VLOOKUP($B44,'LT04'!$B$11:$Q$80,16,FALSE))))</f>
        <v/>
      </c>
      <c r="X44" s="85">
        <f>IF(OR($X$6="",$X$7=""),"",IF($B44="","",IF(ISNA(VLOOKUP($B44,'LT05'!$B$11:$M$80,12,FALSE)),"",IF(VLOOKUP($B44,'LT05'!$B$11:$M$80,12,FALSE)="","",VLOOKUP($B44,'LT05'!$B$11:$M$80,12,FALSE)))))</f>
        <v>2.5</v>
      </c>
      <c r="Y44" s="82">
        <f>IF(OR($X$6="",$X$7=""),"",IF($B44="","",IF(ISNA(VLOOKUP($B44,'LT05'!$B$11:$N$80,13,FALSE)),"",VLOOKUP($B44,'LT05'!$B$11:$N$80,13,FALSE))))</f>
        <v>3.4</v>
      </c>
      <c r="Z44" s="83"/>
      <c r="AA44" s="84" t="str">
        <f>IF(OR($X$6="",$X$7=""),"",IF($B44="","",IF(ISNA(VLOOKUP($B44,'LT05'!$B$11:$Q$80,16,FALSE)),"",VLOOKUP($B44,'LT05'!$B$11:$Q$80,16,FALSE))))</f>
        <v/>
      </c>
      <c r="AB44" s="85" t="str">
        <f>IF(OR($AB$6="",$AB$7=""),"",IF($B44="","",IF(ISNA(VLOOKUP($B44,'LT06'!$B$11:$M$80,12,FALSE)),"",IF(VLOOKUP($B44,'LT06'!$B$11:$M$80,12,FALSE)="","",VLOOKUP($B44,'LT06'!$B$11:$M$80,12,FALSE)))))</f>
        <v/>
      </c>
      <c r="AC44" s="82" t="str">
        <f>IF(OR($AB$6="",$AB$7=""),"",IF($B44="","",IF(ISNA(VLOOKUP($B44,'LT06'!$B$11:$N$80,13,FALSE)),"",VLOOKUP($B44,'LT06'!$B$11:$N$80,13,FALSE))))</f>
        <v/>
      </c>
      <c r="AD44" s="83"/>
      <c r="AE44" s="84" t="str">
        <f>IF(OR($AB$6="",$AB$7=""),"",IF($B44="","",IF(ISNA(VLOOKUP($B44,'LT06'!$B$11:$Q$80,16,FALSE)),"",VLOOKUP($B44,'LT06'!$B$11:$Q$80,16,FALSE))))</f>
        <v/>
      </c>
      <c r="AF44" s="85" t="str">
        <f>IF(OR($AF$6="",$AF$7=""),"",IF($B44="","",IF(ISNA(VLOOKUP($B44,'LT07'!$B$11:$M$80,12,FALSE)),"",IF(VLOOKUP($B44,'LT07'!$B$11:$M$80,12,FALSE)="","",VLOOKUP($B44,'LT07'!$B$11:$M$80,12,FALSE)))))</f>
        <v/>
      </c>
      <c r="AG44" s="82" t="str">
        <f>IF(OR($AF$6="",$AF$7=""),"",IF($B44="","",IF(ISNA(VLOOKUP($B44,'LT07'!$B$11:$N$80,13,FALSE)),"",VLOOKUP($B44,'LT07'!$B$11:$N$80,13,FALSE))))</f>
        <v/>
      </c>
      <c r="AH44" s="83"/>
      <c r="AI44" s="84" t="str">
        <f>IF(OR($AF$6="",$AF$7=""),"",IF($B44="","",IF(ISNA(VLOOKUP($B44,'LT07'!$B$11:$Q$80,16,FALSE)),"",VLOOKUP($B44,'LT07'!$B$11:$Q$80,16,FALSE))))</f>
        <v/>
      </c>
      <c r="AJ44" s="304"/>
      <c r="AK44" s="82" t="str">
        <f>IF(OR($AJ$6="",$AJ$7=""),"",IF($B44="","",IF(ISNA(VLOOKUP($B44,'DO AN'!$B$11:$L$80,11,FALSE)),"",IF(VLOOKUP($B44,'DO AN'!$B$11:$L$80,11,FALSE)="","",VLOOKUP($B44,'DO AN'!$B$11:$L$80,11,FALSE)))))</f>
        <v/>
      </c>
      <c r="AL44" s="83"/>
      <c r="AM44" s="451"/>
      <c r="AN44" s="83"/>
      <c r="AO44" s="82" t="str">
        <f>IF(OR($AN$6="",$AN$7=""),"",IF($B44="","",IF(ISNA(VLOOKUP($B44,'DO AN 2'!$B$11:$L$80,11,FALSE)),"",IF(VLOOKUP($B44,'DO AN 2'!$B$11:$L$80,11,FALSE)="","",VLOOKUP($B44,'DO AN 2'!$B$11:$L$80,11,FALSE)))))</f>
        <v/>
      </c>
      <c r="AP44" s="83"/>
      <c r="AQ44" s="83"/>
      <c r="AR44" s="454"/>
      <c r="AS44" s="82">
        <f>IF(OR($AR$6="",$AR$7=""),"",IF($B44="","",IF(ISNA(VLOOKUP($B44,'TH01'!$B$11:$O$80,14,FALSE)),"",VLOOKUP($B44,'TH01'!$B$11:$O$80,14,FALSE))))</f>
        <v>5</v>
      </c>
      <c r="AT44" s="83"/>
      <c r="AU44" s="303"/>
      <c r="AV44" s="304"/>
      <c r="AW44" s="82">
        <f>IF(OR($AV$6="",$AV$7=""),"",IF($B44="","",IF(ISNA(VLOOKUP($B44,'TH02'!$B$11:$O$80,14,FALSE)),"",VLOOKUP($B44,'TH02'!$B$11:$O$80,14,FALSE))))</f>
        <v>8</v>
      </c>
      <c r="AX44" s="83"/>
      <c r="AY44" s="303"/>
      <c r="AZ44" s="304"/>
      <c r="BA44" s="82">
        <f>IF(OR($AZ$6="",$AZ$7=""),"",IF($B44="","",IF(ISNA(VLOOKUP($B44,'TH03'!$B$11:$O$80,14,FALSE)),"",VLOOKUP($B44,'TH03'!$B$11:$O$80,14,FALSE))))</f>
        <v>4</v>
      </c>
      <c r="BB44" s="83"/>
      <c r="BC44" s="303"/>
      <c r="BD44" s="86">
        <f t="shared" si="11"/>
        <v>5.54</v>
      </c>
      <c r="BE44" s="86" t="str">
        <f t="shared" si="12"/>
        <v/>
      </c>
      <c r="BF44" s="87">
        <v>54</v>
      </c>
      <c r="BG44" s="88" t="str">
        <f t="shared" si="92"/>
        <v>T.Bình</v>
      </c>
      <c r="BH44" s="88" t="str">
        <f t="shared" si="93"/>
        <v/>
      </c>
      <c r="BI44" s="87"/>
      <c r="BJ44" s="86" t="str">
        <f t="shared" si="94"/>
        <v/>
      </c>
      <c r="BK44" s="265">
        <f t="shared" si="95"/>
        <v>15</v>
      </c>
      <c r="BL44" s="88">
        <f t="shared" si="96"/>
        <v>3</v>
      </c>
      <c r="BM44" s="88">
        <f t="shared" si="97"/>
        <v>15</v>
      </c>
      <c r="BN44" s="88">
        <f t="shared" si="98"/>
        <v>3</v>
      </c>
      <c r="BO44" s="86">
        <f t="shared" si="13"/>
        <v>5.97</v>
      </c>
      <c r="BP44" s="86" t="str">
        <f t="shared" si="99"/>
        <v>BT</v>
      </c>
      <c r="BQ44" s="86">
        <f t="shared" si="14"/>
        <v>5.97</v>
      </c>
      <c r="BR44" s="86" t="str">
        <f t="shared" si="100"/>
        <v>BT</v>
      </c>
      <c r="BS44" s="87"/>
      <c r="BT44" s="276">
        <f t="shared" si="15"/>
        <v>3</v>
      </c>
      <c r="BU44" s="238">
        <f t="shared" si="16"/>
        <v>7</v>
      </c>
      <c r="BV44" s="238">
        <f t="shared" si="17"/>
        <v>5.5</v>
      </c>
      <c r="BW44" s="238">
        <f t="shared" si="18"/>
        <v>4.8</v>
      </c>
      <c r="BX44" s="238">
        <f t="shared" si="19"/>
        <v>5.8</v>
      </c>
      <c r="BY44" s="238">
        <f t="shared" si="20"/>
        <v>2.5</v>
      </c>
      <c r="BZ44" s="238" t="str">
        <f t="shared" si="21"/>
        <v/>
      </c>
      <c r="CA44" s="238" t="str">
        <f t="shared" si="22"/>
        <v/>
      </c>
      <c r="CB44" s="238" t="str">
        <f t="shared" si="23"/>
        <v/>
      </c>
      <c r="CC44" s="238" t="str">
        <f t="shared" si="24"/>
        <v/>
      </c>
      <c r="CD44" s="238">
        <f t="shared" si="25"/>
        <v>5</v>
      </c>
      <c r="CE44" s="238">
        <f t="shared" si="26"/>
        <v>8</v>
      </c>
      <c r="CF44" s="238">
        <f t="shared" si="27"/>
        <v>4</v>
      </c>
      <c r="CG44" s="239">
        <f t="shared" si="28"/>
        <v>1</v>
      </c>
      <c r="CH44" s="238">
        <f t="shared" si="29"/>
        <v>7</v>
      </c>
      <c r="CI44" s="238">
        <f t="shared" si="30"/>
        <v>6</v>
      </c>
      <c r="CJ44" s="238">
        <f t="shared" si="31"/>
        <v>4.9000000000000004</v>
      </c>
      <c r="CK44" s="238">
        <f t="shared" si="32"/>
        <v>6.4</v>
      </c>
      <c r="CL44" s="238">
        <f t="shared" si="33"/>
        <v>3.4</v>
      </c>
      <c r="CM44" s="238" t="str">
        <f t="shared" si="34"/>
        <v/>
      </c>
      <c r="CN44" s="238" t="str">
        <f t="shared" si="35"/>
        <v/>
      </c>
      <c r="CO44" s="238" t="str">
        <f t="shared" si="36"/>
        <v/>
      </c>
      <c r="CP44" s="238" t="str">
        <f t="shared" si="37"/>
        <v/>
      </c>
      <c r="CQ44" s="238">
        <f t="shared" si="38"/>
        <v>5</v>
      </c>
      <c r="CR44" s="238">
        <f t="shared" si="39"/>
        <v>8</v>
      </c>
      <c r="CS44" s="238">
        <f t="shared" si="40"/>
        <v>4</v>
      </c>
      <c r="CT44" s="240">
        <f t="shared" si="41"/>
        <v>5.54</v>
      </c>
      <c r="CU44" s="241">
        <f t="shared" si="42"/>
        <v>7</v>
      </c>
      <c r="CV44" s="241">
        <f t="shared" si="43"/>
        <v>6</v>
      </c>
      <c r="CW44" s="241">
        <f t="shared" si="44"/>
        <v>4.9000000000000004</v>
      </c>
      <c r="CX44" s="241">
        <f t="shared" si="45"/>
        <v>6.4</v>
      </c>
      <c r="CY44" s="241" t="str">
        <f t="shared" si="46"/>
        <v/>
      </c>
      <c r="CZ44" s="241" t="str">
        <f t="shared" si="47"/>
        <v/>
      </c>
      <c r="DA44" s="241" t="str">
        <f t="shared" si="48"/>
        <v/>
      </c>
      <c r="DB44" s="241" t="str">
        <f t="shared" si="49"/>
        <v/>
      </c>
      <c r="DC44" s="241" t="str">
        <f t="shared" si="50"/>
        <v/>
      </c>
      <c r="DD44" s="241">
        <f t="shared" si="51"/>
        <v>5</v>
      </c>
      <c r="DE44" s="241">
        <f t="shared" si="52"/>
        <v>8</v>
      </c>
      <c r="DF44" s="241">
        <f t="shared" si="53"/>
        <v>4</v>
      </c>
      <c r="DG44" s="242">
        <f t="shared" si="101"/>
        <v>5.97</v>
      </c>
      <c r="DH44" s="82" t="str">
        <f t="shared" si="54"/>
        <v/>
      </c>
      <c r="DI44" s="82" t="str">
        <f t="shared" si="55"/>
        <v/>
      </c>
      <c r="DJ44" s="82" t="str">
        <f t="shared" si="56"/>
        <v/>
      </c>
      <c r="DK44" s="82" t="str">
        <f t="shared" si="57"/>
        <v/>
      </c>
      <c r="DL44" s="82" t="str">
        <f t="shared" si="58"/>
        <v/>
      </c>
      <c r="DM44" s="82" t="str">
        <f t="shared" si="59"/>
        <v/>
      </c>
      <c r="DN44" s="82" t="str">
        <f t="shared" si="60"/>
        <v/>
      </c>
      <c r="DO44" s="82" t="str">
        <f t="shared" si="61"/>
        <v/>
      </c>
      <c r="DP44" s="82" t="str">
        <f t="shared" si="62"/>
        <v/>
      </c>
      <c r="DQ44" s="82" t="str">
        <f t="shared" si="63"/>
        <v/>
      </c>
      <c r="DR44" s="82" t="str">
        <f t="shared" si="64"/>
        <v/>
      </c>
      <c r="DS44" s="253" t="str">
        <f t="shared" si="65"/>
        <v/>
      </c>
      <c r="DT44" s="250">
        <f t="shared" si="66"/>
        <v>7</v>
      </c>
      <c r="DU44" s="238">
        <f t="shared" si="67"/>
        <v>6</v>
      </c>
      <c r="DV44" s="238">
        <f t="shared" si="68"/>
        <v>4.9000000000000004</v>
      </c>
      <c r="DW44" s="238">
        <f t="shared" si="69"/>
        <v>6.4</v>
      </c>
      <c r="DX44" s="238">
        <f t="shared" si="70"/>
        <v>3.4</v>
      </c>
      <c r="DY44" s="238" t="str">
        <f t="shared" si="71"/>
        <v/>
      </c>
      <c r="DZ44" s="238" t="str">
        <f t="shared" si="72"/>
        <v/>
      </c>
      <c r="EA44" s="238" t="str">
        <f t="shared" si="73"/>
        <v/>
      </c>
      <c r="EB44" s="238" t="str">
        <f t="shared" si="74"/>
        <v/>
      </c>
      <c r="EC44" s="238">
        <f t="shared" si="75"/>
        <v>5</v>
      </c>
      <c r="ED44" s="238">
        <f t="shared" si="76"/>
        <v>8</v>
      </c>
      <c r="EE44" s="238">
        <f t="shared" si="77"/>
        <v>4</v>
      </c>
      <c r="EF44" s="255" t="str">
        <f t="shared" si="78"/>
        <v/>
      </c>
      <c r="EG44" s="257">
        <f t="shared" si="79"/>
        <v>7</v>
      </c>
      <c r="EH44" s="257">
        <f t="shared" si="80"/>
        <v>6</v>
      </c>
      <c r="EI44" s="257">
        <f t="shared" si="81"/>
        <v>4.9000000000000004</v>
      </c>
      <c r="EJ44" s="257">
        <f t="shared" si="82"/>
        <v>6.4</v>
      </c>
      <c r="EK44" s="257" t="str">
        <f t="shared" si="83"/>
        <v/>
      </c>
      <c r="EL44" s="257" t="str">
        <f t="shared" si="84"/>
        <v/>
      </c>
      <c r="EM44" s="257" t="str">
        <f t="shared" si="85"/>
        <v/>
      </c>
      <c r="EN44" s="257" t="str">
        <f t="shared" si="86"/>
        <v/>
      </c>
      <c r="EO44" s="257" t="str">
        <f t="shared" si="87"/>
        <v/>
      </c>
      <c r="EP44" s="257">
        <f t="shared" si="88"/>
        <v>5</v>
      </c>
      <c r="EQ44" s="257">
        <f t="shared" si="89"/>
        <v>8</v>
      </c>
      <c r="ER44" s="257">
        <f t="shared" si="90"/>
        <v>4</v>
      </c>
      <c r="ES44" s="262">
        <f t="shared" si="102"/>
        <v>5.97</v>
      </c>
      <c r="ET44" s="307">
        <f t="shared" si="91"/>
        <v>5.54</v>
      </c>
    </row>
    <row r="45" spans="1:150" s="89" customFormat="1" ht="30" customHeight="1">
      <c r="A45" s="272">
        <f>IF($B45="","",SUBTOTAL(3,$B$11:B45))</f>
        <v>35</v>
      </c>
      <c r="B45" s="457" t="s">
        <v>1593</v>
      </c>
      <c r="C45" s="76" t="str">
        <f>IF($B45="","",VLOOKUP($B45,'DS LOP HKI'!$B$2:$D$951,2,0))</f>
        <v>Võ Hoài</v>
      </c>
      <c r="D45" s="77" t="str">
        <f>IF($B45="","",VLOOKUP($B45,'DS LOP HKI'!$B$2:$D$951,3,0))</f>
        <v>Nam</v>
      </c>
      <c r="E45" s="78"/>
      <c r="F45" s="79"/>
      <c r="G45" s="80">
        <v>1</v>
      </c>
      <c r="H45" s="81">
        <f>IF(OR($H$6="",$H$7=""),"",IF($B45="","",IF(ISNA(VLOOKUP($B45,'LT01'!$B$11:$M$80,12,FALSE)),"",IF(VLOOKUP($B45,'LT01'!$B$11:$M$80,12,FALSE)="","",VLOOKUP($B45,'LT01'!$B$11:$M$80,12,FALSE)))))</f>
        <v>7</v>
      </c>
      <c r="I45" s="82">
        <f>IF(OR($H$6="",$H$7=""),"",IF($B45="","",IF(ISNA(VLOOKUP($B45,'LT01'!$B$11:$N$80,13,FALSE)),"",VLOOKUP($B45,'LT01'!$B$11:$N$80,13,FALSE))))</f>
        <v>6.9</v>
      </c>
      <c r="J45" s="83"/>
      <c r="K45" s="84" t="str">
        <f>IF(OR($H$6="",$H$7=""),"",IF($B45="","",IF(ISNA(VLOOKUP($B45,'LT01'!$B$11:$Q$80,16,FALSE)),"",IF(VLOOKUP($B45,'LT01'!$B$11:$Q$80,16,FALSE)="","",VLOOKUP($B45,'LT01'!$B$11:$Q$80,16,FALSE)))))</f>
        <v/>
      </c>
      <c r="L45" s="85">
        <f>IF(OR($L$6="",$L$7=""),"",IF($B45="","",IF(ISNA(VLOOKUP($B45,'LT02'!$B$11:$M$80,12,FALSE)),"",IF(VLOOKUP($B45,'LT02'!$B$11:$M$80,12,FALSE)="","",VLOOKUP($B45,'LT02'!$B$11:$M$80,12,FALSE)))))</f>
        <v>8.5</v>
      </c>
      <c r="M45" s="82">
        <f>IF(OR($L$6="",$L$7=""),"",IF($B45="","",IF(ISNA(VLOOKUP($B45,'LT02'!$B$11:$N$80,13,FALSE)),"",VLOOKUP($B45,'LT02'!$B$11:$N$80,13,FALSE))))</f>
        <v>7.5</v>
      </c>
      <c r="N45" s="83"/>
      <c r="O45" s="84" t="str">
        <f>IF(OR($L$6="",$L$7=""),"",IF($B45="","",IF(ISNA(VLOOKUP($B45,'LT02'!$B$11:$Q$80,16,FALSE)),"",VLOOKUP($B45,'LT02'!$B$11:$Q$80,16,FALSE))))</f>
        <v/>
      </c>
      <c r="P45" s="85">
        <f>IF(OR($P$6="",$P$7=""),"",IF($B45="","",IF(ISNA(VLOOKUP($B45,'LT03'!$B$11:$M$80,12,FALSE)),"",IF(VLOOKUP($B45,'LT03'!$B$11:$M$80,12,FALSE)="","",VLOOKUP($B45,'LT03'!$B$11:$M$80,12,FALSE)))))</f>
        <v>4.5</v>
      </c>
      <c r="Q45" s="82">
        <f>IF(OR($P$6="",$P$7=""),"",IF($B45="","",IF(ISNA(VLOOKUP($B45,'LT03'!$B$11:$N$80,13,FALSE)),"",VLOOKUP($B45,'LT03'!$B$11:$N$80,13,FALSE))))</f>
        <v>5</v>
      </c>
      <c r="R45" s="83"/>
      <c r="S45" s="84" t="str">
        <f>IF(OR($P$6="",$P$7=""),"",IF($B45="","",IF(ISNA(VLOOKUP($B45,'LT03'!$B$11:$Q$80,16,FALSE)),"",VLOOKUP($B45,'LT03'!$B$11:$Q$80,16,FALSE))))</f>
        <v/>
      </c>
      <c r="T45" s="85">
        <f>IF(OR($T$6="",$T$7=""),"",IF($B45="","",IF(ISNA(VLOOKUP($B45,'LT04'!$B$11:$M$80,12,FALSE)),"",IF(VLOOKUP($B45,'LT04'!$B$11:$M$80,12,FALSE)="","",VLOOKUP($B45,'LT04'!$B$11:$M$80,12,FALSE)))))</f>
        <v>9</v>
      </c>
      <c r="U45" s="82">
        <f>IF(OR($T$6="",$T$7=""),"",IF($B45="","",IF(ISNA(VLOOKUP($B45,'LT04'!$B$11:$N$80,13,FALSE)),"",VLOOKUP($B45,'LT04'!$B$11:$N$80,13,FALSE))))</f>
        <v>7.8</v>
      </c>
      <c r="V45" s="83"/>
      <c r="W45" s="84" t="str">
        <f>IF(OR($T$6="",$T$7=""),"",IF($B45="","",IF(ISNA(VLOOKUP($B45,'LT04'!$B$11:$Q$80,16,FALSE)),"",VLOOKUP($B45,'LT04'!$B$11:$Q$80,16,FALSE))))</f>
        <v/>
      </c>
      <c r="X45" s="85">
        <f>IF(OR($X$6="",$X$7=""),"",IF($B45="","",IF(ISNA(VLOOKUP($B45,'LT05'!$B$11:$M$80,12,FALSE)),"",IF(VLOOKUP($B45,'LT05'!$B$11:$M$80,12,FALSE)="","",VLOOKUP($B45,'LT05'!$B$11:$M$80,12,FALSE)))))</f>
        <v>3.5</v>
      </c>
      <c r="Y45" s="82">
        <f>IF(OR($X$6="",$X$7=""),"",IF($B45="","",IF(ISNA(VLOOKUP($B45,'LT05'!$B$11:$N$80,13,FALSE)),"",VLOOKUP($B45,'LT05'!$B$11:$N$80,13,FALSE))))</f>
        <v>4.2</v>
      </c>
      <c r="Z45" s="83"/>
      <c r="AA45" s="84" t="str">
        <f>IF(OR($X$6="",$X$7=""),"",IF($B45="","",IF(ISNA(VLOOKUP($B45,'LT05'!$B$11:$Q$80,16,FALSE)),"",VLOOKUP($B45,'LT05'!$B$11:$Q$80,16,FALSE))))</f>
        <v/>
      </c>
      <c r="AB45" s="85" t="str">
        <f>IF(OR($AB$6="",$AB$7=""),"",IF($B45="","",IF(ISNA(VLOOKUP($B45,'LT06'!$B$11:$M$80,12,FALSE)),"",IF(VLOOKUP($B45,'LT06'!$B$11:$M$80,12,FALSE)="","",VLOOKUP($B45,'LT06'!$B$11:$M$80,12,FALSE)))))</f>
        <v/>
      </c>
      <c r="AC45" s="82" t="str">
        <f>IF(OR($AB$6="",$AB$7=""),"",IF($B45="","",IF(ISNA(VLOOKUP($B45,'LT06'!$B$11:$N$80,13,FALSE)),"",VLOOKUP($B45,'LT06'!$B$11:$N$80,13,FALSE))))</f>
        <v/>
      </c>
      <c r="AD45" s="83"/>
      <c r="AE45" s="84" t="str">
        <f>IF(OR($AB$6="",$AB$7=""),"",IF($B45="","",IF(ISNA(VLOOKUP($B45,'LT06'!$B$11:$Q$80,16,FALSE)),"",VLOOKUP($B45,'LT06'!$B$11:$Q$80,16,FALSE))))</f>
        <v/>
      </c>
      <c r="AF45" s="85" t="str">
        <f>IF(OR($AF$6="",$AF$7=""),"",IF($B45="","",IF(ISNA(VLOOKUP($B45,'LT07'!$B$11:$M$80,12,FALSE)),"",IF(VLOOKUP($B45,'LT07'!$B$11:$M$80,12,FALSE)="","",VLOOKUP($B45,'LT07'!$B$11:$M$80,12,FALSE)))))</f>
        <v/>
      </c>
      <c r="AG45" s="82" t="str">
        <f>IF(OR($AF$6="",$AF$7=""),"",IF($B45="","",IF(ISNA(VLOOKUP($B45,'LT07'!$B$11:$N$80,13,FALSE)),"",VLOOKUP($B45,'LT07'!$B$11:$N$80,13,FALSE))))</f>
        <v/>
      </c>
      <c r="AH45" s="83"/>
      <c r="AI45" s="84" t="str">
        <f>IF(OR($AF$6="",$AF$7=""),"",IF($B45="","",IF(ISNA(VLOOKUP($B45,'LT07'!$B$11:$Q$80,16,FALSE)),"",VLOOKUP($B45,'LT07'!$B$11:$Q$80,16,FALSE))))</f>
        <v/>
      </c>
      <c r="AJ45" s="304"/>
      <c r="AK45" s="82" t="str">
        <f>IF(OR($AJ$6="",$AJ$7=""),"",IF($B45="","",IF(ISNA(VLOOKUP($B45,'DO AN'!$B$11:$L$80,11,FALSE)),"",IF(VLOOKUP($B45,'DO AN'!$B$11:$L$80,11,FALSE)="","",VLOOKUP($B45,'DO AN'!$B$11:$L$80,11,FALSE)))))</f>
        <v/>
      </c>
      <c r="AL45" s="83"/>
      <c r="AM45" s="451"/>
      <c r="AN45" s="83"/>
      <c r="AO45" s="82" t="str">
        <f>IF(OR($AN$6="",$AN$7=""),"",IF($B45="","",IF(ISNA(VLOOKUP($B45,'DO AN 2'!$B$11:$L$80,11,FALSE)),"",IF(VLOOKUP($B45,'DO AN 2'!$B$11:$L$80,11,FALSE)="","",VLOOKUP($B45,'DO AN 2'!$B$11:$L$80,11,FALSE)))))</f>
        <v/>
      </c>
      <c r="AP45" s="83"/>
      <c r="AQ45" s="83"/>
      <c r="AR45" s="454"/>
      <c r="AS45" s="82">
        <f>IF(OR($AR$6="",$AR$7=""),"",IF($B45="","",IF(ISNA(VLOOKUP($B45,'TH01'!$B$11:$O$80,14,FALSE)),"",VLOOKUP($B45,'TH01'!$B$11:$O$80,14,FALSE))))</f>
        <v>5</v>
      </c>
      <c r="AT45" s="83"/>
      <c r="AU45" s="303"/>
      <c r="AV45" s="304"/>
      <c r="AW45" s="82">
        <f>IF(OR($AV$6="",$AV$7=""),"",IF($B45="","",IF(ISNA(VLOOKUP($B45,'TH02'!$B$11:$O$80,14,FALSE)),"",VLOOKUP($B45,'TH02'!$B$11:$O$80,14,FALSE))))</f>
        <v>6.3</v>
      </c>
      <c r="AX45" s="83"/>
      <c r="AY45" s="303"/>
      <c r="AZ45" s="304"/>
      <c r="BA45" s="82">
        <f>IF(OR($AZ$6="",$AZ$7=""),"",IF($B45="","",IF(ISNA(VLOOKUP($B45,'TH03'!$B$11:$O$80,14,FALSE)),"",VLOOKUP($B45,'TH03'!$B$11:$O$80,14,FALSE))))</f>
        <v>6</v>
      </c>
      <c r="BB45" s="83"/>
      <c r="BC45" s="303"/>
      <c r="BD45" s="86">
        <f t="shared" si="11"/>
        <v>6.03</v>
      </c>
      <c r="BE45" s="86" t="str">
        <f t="shared" si="12"/>
        <v/>
      </c>
      <c r="BF45" s="87">
        <v>64</v>
      </c>
      <c r="BG45" s="88" t="str">
        <f t="shared" si="92"/>
        <v>T.Bình</v>
      </c>
      <c r="BH45" s="88" t="str">
        <f t="shared" si="93"/>
        <v/>
      </c>
      <c r="BI45" s="87"/>
      <c r="BJ45" s="86" t="str">
        <f t="shared" si="94"/>
        <v/>
      </c>
      <c r="BK45" s="265">
        <f t="shared" si="95"/>
        <v>18</v>
      </c>
      <c r="BL45" s="88">
        <f t="shared" si="96"/>
        <v>0</v>
      </c>
      <c r="BM45" s="88">
        <f t="shared" si="97"/>
        <v>18</v>
      </c>
      <c r="BN45" s="88">
        <f t="shared" si="98"/>
        <v>0</v>
      </c>
      <c r="BO45" s="86">
        <f t="shared" si="13"/>
        <v>6.03</v>
      </c>
      <c r="BP45" s="86" t="str">
        <f t="shared" si="99"/>
        <v>BT</v>
      </c>
      <c r="BQ45" s="86">
        <f t="shared" si="14"/>
        <v>6.03</v>
      </c>
      <c r="BR45" s="86" t="str">
        <f t="shared" si="100"/>
        <v>BT</v>
      </c>
      <c r="BS45" s="87"/>
      <c r="BT45" s="276">
        <f t="shared" si="15"/>
        <v>2</v>
      </c>
      <c r="BU45" s="238">
        <f t="shared" si="16"/>
        <v>7</v>
      </c>
      <c r="BV45" s="238">
        <f t="shared" si="17"/>
        <v>8.5</v>
      </c>
      <c r="BW45" s="238">
        <f t="shared" si="18"/>
        <v>4.5</v>
      </c>
      <c r="BX45" s="238">
        <f t="shared" si="19"/>
        <v>9</v>
      </c>
      <c r="BY45" s="238">
        <f t="shared" si="20"/>
        <v>3.5</v>
      </c>
      <c r="BZ45" s="238" t="str">
        <f t="shared" si="21"/>
        <v/>
      </c>
      <c r="CA45" s="238" t="str">
        <f t="shared" si="22"/>
        <v/>
      </c>
      <c r="CB45" s="238" t="str">
        <f t="shared" si="23"/>
        <v/>
      </c>
      <c r="CC45" s="238" t="str">
        <f t="shared" si="24"/>
        <v/>
      </c>
      <c r="CD45" s="238">
        <f t="shared" si="25"/>
        <v>5</v>
      </c>
      <c r="CE45" s="238">
        <f t="shared" si="26"/>
        <v>6.3</v>
      </c>
      <c r="CF45" s="238">
        <f t="shared" si="27"/>
        <v>6</v>
      </c>
      <c r="CG45" s="239">
        <f t="shared" si="28"/>
        <v>0</v>
      </c>
      <c r="CH45" s="238">
        <f t="shared" si="29"/>
        <v>6.9</v>
      </c>
      <c r="CI45" s="238">
        <f t="shared" si="30"/>
        <v>7.5</v>
      </c>
      <c r="CJ45" s="238">
        <f t="shared" si="31"/>
        <v>5</v>
      </c>
      <c r="CK45" s="238">
        <f t="shared" si="32"/>
        <v>7.8</v>
      </c>
      <c r="CL45" s="238">
        <f t="shared" si="33"/>
        <v>4.2</v>
      </c>
      <c r="CM45" s="238" t="str">
        <f t="shared" si="34"/>
        <v/>
      </c>
      <c r="CN45" s="238" t="str">
        <f t="shared" si="35"/>
        <v/>
      </c>
      <c r="CO45" s="238" t="str">
        <f t="shared" si="36"/>
        <v/>
      </c>
      <c r="CP45" s="238" t="str">
        <f t="shared" si="37"/>
        <v/>
      </c>
      <c r="CQ45" s="238">
        <f t="shared" si="38"/>
        <v>5</v>
      </c>
      <c r="CR45" s="238">
        <f t="shared" si="39"/>
        <v>6.3</v>
      </c>
      <c r="CS45" s="238">
        <f t="shared" si="40"/>
        <v>6</v>
      </c>
      <c r="CT45" s="240">
        <f t="shared" si="41"/>
        <v>6.03</v>
      </c>
      <c r="CU45" s="241">
        <f t="shared" si="42"/>
        <v>6.9</v>
      </c>
      <c r="CV45" s="241">
        <f t="shared" si="43"/>
        <v>7.5</v>
      </c>
      <c r="CW45" s="241">
        <f t="shared" si="44"/>
        <v>5</v>
      </c>
      <c r="CX45" s="241">
        <f t="shared" si="45"/>
        <v>7.8</v>
      </c>
      <c r="CY45" s="241">
        <f t="shared" si="46"/>
        <v>4.2</v>
      </c>
      <c r="CZ45" s="241" t="str">
        <f t="shared" si="47"/>
        <v/>
      </c>
      <c r="DA45" s="241" t="str">
        <f t="shared" si="48"/>
        <v/>
      </c>
      <c r="DB45" s="241" t="str">
        <f t="shared" si="49"/>
        <v/>
      </c>
      <c r="DC45" s="241" t="str">
        <f t="shared" si="50"/>
        <v/>
      </c>
      <c r="DD45" s="241">
        <f t="shared" si="51"/>
        <v>5</v>
      </c>
      <c r="DE45" s="241">
        <f t="shared" si="52"/>
        <v>6.3</v>
      </c>
      <c r="DF45" s="241">
        <f t="shared" si="53"/>
        <v>6</v>
      </c>
      <c r="DG45" s="242">
        <f t="shared" si="101"/>
        <v>6.03</v>
      </c>
      <c r="DH45" s="82" t="str">
        <f t="shared" si="54"/>
        <v/>
      </c>
      <c r="DI45" s="82" t="str">
        <f t="shared" si="55"/>
        <v/>
      </c>
      <c r="DJ45" s="82" t="str">
        <f t="shared" si="56"/>
        <v/>
      </c>
      <c r="DK45" s="82" t="str">
        <f t="shared" si="57"/>
        <v/>
      </c>
      <c r="DL45" s="82" t="str">
        <f t="shared" si="58"/>
        <v/>
      </c>
      <c r="DM45" s="82" t="str">
        <f t="shared" si="59"/>
        <v/>
      </c>
      <c r="DN45" s="82" t="str">
        <f t="shared" si="60"/>
        <v/>
      </c>
      <c r="DO45" s="82" t="str">
        <f t="shared" si="61"/>
        <v/>
      </c>
      <c r="DP45" s="82" t="str">
        <f t="shared" si="62"/>
        <v/>
      </c>
      <c r="DQ45" s="82" t="str">
        <f t="shared" si="63"/>
        <v/>
      </c>
      <c r="DR45" s="82" t="str">
        <f t="shared" si="64"/>
        <v/>
      </c>
      <c r="DS45" s="253" t="str">
        <f t="shared" si="65"/>
        <v/>
      </c>
      <c r="DT45" s="250">
        <f t="shared" si="66"/>
        <v>6.9</v>
      </c>
      <c r="DU45" s="238">
        <f t="shared" si="67"/>
        <v>7.5</v>
      </c>
      <c r="DV45" s="238">
        <f t="shared" si="68"/>
        <v>5</v>
      </c>
      <c r="DW45" s="238">
        <f t="shared" si="69"/>
        <v>7.8</v>
      </c>
      <c r="DX45" s="238">
        <f t="shared" si="70"/>
        <v>4.2</v>
      </c>
      <c r="DY45" s="238" t="str">
        <f t="shared" si="71"/>
        <v/>
      </c>
      <c r="DZ45" s="238" t="str">
        <f t="shared" si="72"/>
        <v/>
      </c>
      <c r="EA45" s="238" t="str">
        <f t="shared" si="73"/>
        <v/>
      </c>
      <c r="EB45" s="238" t="str">
        <f t="shared" si="74"/>
        <v/>
      </c>
      <c r="EC45" s="238">
        <f t="shared" si="75"/>
        <v>5</v>
      </c>
      <c r="ED45" s="238">
        <f t="shared" si="76"/>
        <v>6.3</v>
      </c>
      <c r="EE45" s="238">
        <f t="shared" si="77"/>
        <v>6</v>
      </c>
      <c r="EF45" s="255" t="str">
        <f t="shared" si="78"/>
        <v/>
      </c>
      <c r="EG45" s="257">
        <f t="shared" si="79"/>
        <v>6.9</v>
      </c>
      <c r="EH45" s="257">
        <f t="shared" si="80"/>
        <v>7.5</v>
      </c>
      <c r="EI45" s="257">
        <f t="shared" si="81"/>
        <v>5</v>
      </c>
      <c r="EJ45" s="257">
        <f t="shared" si="82"/>
        <v>7.8</v>
      </c>
      <c r="EK45" s="257">
        <f t="shared" si="83"/>
        <v>4.2</v>
      </c>
      <c r="EL45" s="257" t="str">
        <f t="shared" si="84"/>
        <v/>
      </c>
      <c r="EM45" s="257" t="str">
        <f t="shared" si="85"/>
        <v/>
      </c>
      <c r="EN45" s="257" t="str">
        <f t="shared" si="86"/>
        <v/>
      </c>
      <c r="EO45" s="257" t="str">
        <f t="shared" si="87"/>
        <v/>
      </c>
      <c r="EP45" s="257">
        <f t="shared" si="88"/>
        <v>5</v>
      </c>
      <c r="EQ45" s="257">
        <f t="shared" si="89"/>
        <v>6.3</v>
      </c>
      <c r="ER45" s="257">
        <f t="shared" si="90"/>
        <v>6</v>
      </c>
      <c r="ES45" s="262">
        <f t="shared" si="102"/>
        <v>6.03</v>
      </c>
      <c r="ET45" s="307">
        <f t="shared" si="91"/>
        <v>6.03</v>
      </c>
    </row>
    <row r="46" spans="1:150" s="89" customFormat="1" ht="30" customHeight="1">
      <c r="A46" s="272">
        <f>IF($B46="","",SUBTOTAL(3,$B$11:B46))</f>
        <v>36</v>
      </c>
      <c r="B46" s="457" t="s">
        <v>1596</v>
      </c>
      <c r="C46" s="76" t="str">
        <f>IF($B46="","",VLOOKUP($B46,'DS LOP HKI'!$B$2:$D$951,2,0))</f>
        <v>Nguyễn Hữu</v>
      </c>
      <c r="D46" s="77" t="str">
        <f>IF($B46="","",VLOOKUP($B46,'DS LOP HKI'!$B$2:$D$951,3,0))</f>
        <v>Nghĩa</v>
      </c>
      <c r="E46" s="78"/>
      <c r="F46" s="79"/>
      <c r="G46" s="80">
        <v>1</v>
      </c>
      <c r="H46" s="81">
        <f>IF(OR($H$6="",$H$7=""),"",IF($B46="","",IF(ISNA(VLOOKUP($B46,'LT01'!$B$11:$M$80,12,FALSE)),"",IF(VLOOKUP($B46,'LT01'!$B$11:$M$80,12,FALSE)="","",VLOOKUP($B46,'LT01'!$B$11:$M$80,12,FALSE)))))</f>
        <v>7</v>
      </c>
      <c r="I46" s="82">
        <f>IF(OR($H$6="",$H$7=""),"",IF($B46="","",IF(ISNA(VLOOKUP($B46,'LT01'!$B$11:$N$80,13,FALSE)),"",VLOOKUP($B46,'LT01'!$B$11:$N$80,13,FALSE))))</f>
        <v>6.4</v>
      </c>
      <c r="J46" s="83"/>
      <c r="K46" s="84" t="str">
        <f>IF(OR($H$6="",$H$7=""),"",IF($B46="","",IF(ISNA(VLOOKUP($B46,'LT01'!$B$11:$Q$80,16,FALSE)),"",IF(VLOOKUP($B46,'LT01'!$B$11:$Q$80,16,FALSE)="","",VLOOKUP($B46,'LT01'!$B$11:$Q$80,16,FALSE)))))</f>
        <v/>
      </c>
      <c r="L46" s="85">
        <f>IF(OR($L$6="",$L$7=""),"",IF($B46="","",IF(ISNA(VLOOKUP($B46,'LT02'!$B$11:$M$80,12,FALSE)),"",IF(VLOOKUP($B46,'LT02'!$B$11:$M$80,12,FALSE)="","",VLOOKUP($B46,'LT02'!$B$11:$M$80,12,FALSE)))))</f>
        <v>7.8</v>
      </c>
      <c r="M46" s="82">
        <f>IF(OR($L$6="",$L$7=""),"",IF($B46="","",IF(ISNA(VLOOKUP($B46,'LT02'!$B$11:$N$80,13,FALSE)),"",VLOOKUP($B46,'LT02'!$B$11:$N$80,13,FALSE))))</f>
        <v>7.4</v>
      </c>
      <c r="N46" s="83"/>
      <c r="O46" s="84" t="str">
        <f>IF(OR($L$6="",$L$7=""),"",IF($B46="","",IF(ISNA(VLOOKUP($B46,'LT02'!$B$11:$Q$80,16,FALSE)),"",VLOOKUP($B46,'LT02'!$B$11:$Q$80,16,FALSE))))</f>
        <v/>
      </c>
      <c r="P46" s="85">
        <f>IF(OR($P$6="",$P$7=""),"",IF($B46="","",IF(ISNA(VLOOKUP($B46,'LT03'!$B$11:$M$80,12,FALSE)),"",IF(VLOOKUP($B46,'LT03'!$B$11:$M$80,12,FALSE)="","",VLOOKUP($B46,'LT03'!$B$11:$M$80,12,FALSE)))))</f>
        <v>4</v>
      </c>
      <c r="Q46" s="82">
        <f>IF(OR($P$6="",$P$7=""),"",IF($B46="","",IF(ISNA(VLOOKUP($B46,'LT03'!$B$11:$N$80,13,FALSE)),"",VLOOKUP($B46,'LT03'!$B$11:$N$80,13,FALSE))))</f>
        <v>4.7</v>
      </c>
      <c r="R46" s="83"/>
      <c r="S46" s="84" t="str">
        <f>IF(OR($P$6="",$P$7=""),"",IF($B46="","",IF(ISNA(VLOOKUP($B46,'LT03'!$B$11:$Q$80,16,FALSE)),"",VLOOKUP($B46,'LT03'!$B$11:$Q$80,16,FALSE))))</f>
        <v/>
      </c>
      <c r="T46" s="85">
        <f>IF(OR($T$6="",$T$7=""),"",IF($B46="","",IF(ISNA(VLOOKUP($B46,'LT04'!$B$11:$M$80,12,FALSE)),"",IF(VLOOKUP($B46,'LT04'!$B$11:$M$80,12,FALSE)="","",VLOOKUP($B46,'LT04'!$B$11:$M$80,12,FALSE)))))</f>
        <v>7.5</v>
      </c>
      <c r="U46" s="82">
        <f>IF(OR($T$6="",$T$7=""),"",IF($B46="","",IF(ISNA(VLOOKUP($B46,'LT04'!$B$11:$N$80,13,FALSE)),"",VLOOKUP($B46,'LT04'!$B$11:$N$80,13,FALSE))))</f>
        <v>7.1</v>
      </c>
      <c r="V46" s="83"/>
      <c r="W46" s="84" t="str">
        <f>IF(OR($T$6="",$T$7=""),"",IF($B46="","",IF(ISNA(VLOOKUP($B46,'LT04'!$B$11:$Q$80,16,FALSE)),"",VLOOKUP($B46,'LT04'!$B$11:$Q$80,16,FALSE))))</f>
        <v/>
      </c>
      <c r="X46" s="85">
        <f>IF(OR($X$6="",$X$7=""),"",IF($B46="","",IF(ISNA(VLOOKUP($B46,'LT05'!$B$11:$M$80,12,FALSE)),"",IF(VLOOKUP($B46,'LT05'!$B$11:$M$80,12,FALSE)="","",VLOOKUP($B46,'LT05'!$B$11:$M$80,12,FALSE)))))</f>
        <v>2.8</v>
      </c>
      <c r="Y46" s="82">
        <f>IF(OR($X$6="",$X$7=""),"",IF($B46="","",IF(ISNA(VLOOKUP($B46,'LT05'!$B$11:$N$80,13,FALSE)),"",VLOOKUP($B46,'LT05'!$B$11:$N$80,13,FALSE))))</f>
        <v>3.6</v>
      </c>
      <c r="Z46" s="83"/>
      <c r="AA46" s="84" t="str">
        <f>IF(OR($X$6="",$X$7=""),"",IF($B46="","",IF(ISNA(VLOOKUP($B46,'LT05'!$B$11:$Q$80,16,FALSE)),"",VLOOKUP($B46,'LT05'!$B$11:$Q$80,16,FALSE))))</f>
        <v/>
      </c>
      <c r="AB46" s="85" t="str">
        <f>IF(OR($AB$6="",$AB$7=""),"",IF($B46="","",IF(ISNA(VLOOKUP($B46,'LT06'!$B$11:$M$80,12,FALSE)),"",IF(VLOOKUP($B46,'LT06'!$B$11:$M$80,12,FALSE)="","",VLOOKUP($B46,'LT06'!$B$11:$M$80,12,FALSE)))))</f>
        <v/>
      </c>
      <c r="AC46" s="82" t="str">
        <f>IF(OR($AB$6="",$AB$7=""),"",IF($B46="","",IF(ISNA(VLOOKUP($B46,'LT06'!$B$11:$N$80,13,FALSE)),"",VLOOKUP($B46,'LT06'!$B$11:$N$80,13,FALSE))))</f>
        <v/>
      </c>
      <c r="AD46" s="83"/>
      <c r="AE46" s="84" t="str">
        <f>IF(OR($AB$6="",$AB$7=""),"",IF($B46="","",IF(ISNA(VLOOKUP($B46,'LT06'!$B$11:$Q$80,16,FALSE)),"",VLOOKUP($B46,'LT06'!$B$11:$Q$80,16,FALSE))))</f>
        <v/>
      </c>
      <c r="AF46" s="85" t="str">
        <f>IF(OR($AF$6="",$AF$7=""),"",IF($B46="","",IF(ISNA(VLOOKUP($B46,'LT07'!$B$11:$M$80,12,FALSE)),"",IF(VLOOKUP($B46,'LT07'!$B$11:$M$80,12,FALSE)="","",VLOOKUP($B46,'LT07'!$B$11:$M$80,12,FALSE)))))</f>
        <v/>
      </c>
      <c r="AG46" s="82" t="str">
        <f>IF(OR($AF$6="",$AF$7=""),"",IF($B46="","",IF(ISNA(VLOOKUP($B46,'LT07'!$B$11:$N$80,13,FALSE)),"",VLOOKUP($B46,'LT07'!$B$11:$N$80,13,FALSE))))</f>
        <v/>
      </c>
      <c r="AH46" s="83"/>
      <c r="AI46" s="84" t="str">
        <f>IF(OR($AF$6="",$AF$7=""),"",IF($B46="","",IF(ISNA(VLOOKUP($B46,'LT07'!$B$11:$Q$80,16,FALSE)),"",VLOOKUP($B46,'LT07'!$B$11:$Q$80,16,FALSE))))</f>
        <v/>
      </c>
      <c r="AJ46" s="304"/>
      <c r="AK46" s="82" t="str">
        <f>IF(OR($AJ$6="",$AJ$7=""),"",IF($B46="","",IF(ISNA(VLOOKUP($B46,'DO AN'!$B$11:$L$80,11,FALSE)),"",IF(VLOOKUP($B46,'DO AN'!$B$11:$L$80,11,FALSE)="","",VLOOKUP($B46,'DO AN'!$B$11:$L$80,11,FALSE)))))</f>
        <v/>
      </c>
      <c r="AL46" s="83"/>
      <c r="AM46" s="451"/>
      <c r="AN46" s="83"/>
      <c r="AO46" s="82" t="str">
        <f>IF(OR($AN$6="",$AN$7=""),"",IF($B46="","",IF(ISNA(VLOOKUP($B46,'DO AN 2'!$B$11:$L$80,11,FALSE)),"",IF(VLOOKUP($B46,'DO AN 2'!$B$11:$L$80,11,FALSE)="","",VLOOKUP($B46,'DO AN 2'!$B$11:$L$80,11,FALSE)))))</f>
        <v/>
      </c>
      <c r="AP46" s="83"/>
      <c r="AQ46" s="83"/>
      <c r="AR46" s="454"/>
      <c r="AS46" s="82">
        <f>IF(OR($AR$6="",$AR$7=""),"",IF($B46="","",IF(ISNA(VLOOKUP($B46,'TH01'!$B$11:$O$80,14,FALSE)),"",VLOOKUP($B46,'TH01'!$B$11:$O$80,14,FALSE))))</f>
        <v>6.4</v>
      </c>
      <c r="AT46" s="83"/>
      <c r="AU46" s="303"/>
      <c r="AV46" s="304"/>
      <c r="AW46" s="82">
        <f>IF(OR($AV$6="",$AV$7=""),"",IF($B46="","",IF(ISNA(VLOOKUP($B46,'TH02'!$B$11:$O$80,14,FALSE)),"",VLOOKUP($B46,'TH02'!$B$11:$O$80,14,FALSE))))</f>
        <v>7.3</v>
      </c>
      <c r="AX46" s="83"/>
      <c r="AY46" s="303"/>
      <c r="AZ46" s="304"/>
      <c r="BA46" s="82">
        <f>IF(OR($AZ$6="",$AZ$7=""),"",IF($B46="","",IF(ISNA(VLOOKUP($B46,'TH03'!$B$11:$O$80,14,FALSE)),"",VLOOKUP($B46,'TH03'!$B$11:$O$80,14,FALSE))))</f>
        <v>7.3</v>
      </c>
      <c r="BB46" s="83"/>
      <c r="BC46" s="303"/>
      <c r="BD46" s="86">
        <f t="shared" si="11"/>
        <v>6.13</v>
      </c>
      <c r="BE46" s="86" t="str">
        <f t="shared" si="12"/>
        <v/>
      </c>
      <c r="BF46" s="87">
        <v>64</v>
      </c>
      <c r="BG46" s="88" t="str">
        <f t="shared" si="92"/>
        <v>T.Bình</v>
      </c>
      <c r="BH46" s="88" t="str">
        <f t="shared" si="93"/>
        <v/>
      </c>
      <c r="BI46" s="87"/>
      <c r="BJ46" s="86" t="str">
        <f t="shared" si="94"/>
        <v/>
      </c>
      <c r="BK46" s="265">
        <f t="shared" si="95"/>
        <v>15</v>
      </c>
      <c r="BL46" s="88">
        <f t="shared" si="96"/>
        <v>3</v>
      </c>
      <c r="BM46" s="88">
        <f t="shared" si="97"/>
        <v>15</v>
      </c>
      <c r="BN46" s="88">
        <f t="shared" si="98"/>
        <v>3</v>
      </c>
      <c r="BO46" s="86">
        <f t="shared" si="13"/>
        <v>6.64</v>
      </c>
      <c r="BP46" s="86" t="str">
        <f t="shared" si="99"/>
        <v>BT</v>
      </c>
      <c r="BQ46" s="86">
        <f t="shared" si="14"/>
        <v>6.64</v>
      </c>
      <c r="BR46" s="86" t="str">
        <f t="shared" si="100"/>
        <v>BT</v>
      </c>
      <c r="BS46" s="87"/>
      <c r="BT46" s="276">
        <f t="shared" si="15"/>
        <v>2</v>
      </c>
      <c r="BU46" s="238">
        <f t="shared" si="16"/>
        <v>7</v>
      </c>
      <c r="BV46" s="238">
        <f t="shared" si="17"/>
        <v>7.8</v>
      </c>
      <c r="BW46" s="238">
        <f t="shared" si="18"/>
        <v>4</v>
      </c>
      <c r="BX46" s="238">
        <f t="shared" si="19"/>
        <v>7.5</v>
      </c>
      <c r="BY46" s="238">
        <f t="shared" si="20"/>
        <v>2.8</v>
      </c>
      <c r="BZ46" s="238" t="str">
        <f t="shared" si="21"/>
        <v/>
      </c>
      <c r="CA46" s="238" t="str">
        <f t="shared" si="22"/>
        <v/>
      </c>
      <c r="CB46" s="238" t="str">
        <f t="shared" si="23"/>
        <v/>
      </c>
      <c r="CC46" s="238" t="str">
        <f t="shared" si="24"/>
        <v/>
      </c>
      <c r="CD46" s="238">
        <f t="shared" si="25"/>
        <v>6.4</v>
      </c>
      <c r="CE46" s="238">
        <f t="shared" si="26"/>
        <v>7.3</v>
      </c>
      <c r="CF46" s="238">
        <f t="shared" si="27"/>
        <v>7.3</v>
      </c>
      <c r="CG46" s="239">
        <f t="shared" si="28"/>
        <v>1</v>
      </c>
      <c r="CH46" s="238">
        <f t="shared" si="29"/>
        <v>6.4</v>
      </c>
      <c r="CI46" s="238">
        <f t="shared" si="30"/>
        <v>7.4</v>
      </c>
      <c r="CJ46" s="238">
        <f t="shared" si="31"/>
        <v>4.7</v>
      </c>
      <c r="CK46" s="238">
        <f t="shared" si="32"/>
        <v>7.1</v>
      </c>
      <c r="CL46" s="238">
        <f t="shared" si="33"/>
        <v>3.6</v>
      </c>
      <c r="CM46" s="238" t="str">
        <f t="shared" si="34"/>
        <v/>
      </c>
      <c r="CN46" s="238" t="str">
        <f t="shared" si="35"/>
        <v/>
      </c>
      <c r="CO46" s="238" t="str">
        <f t="shared" si="36"/>
        <v/>
      </c>
      <c r="CP46" s="238" t="str">
        <f t="shared" si="37"/>
        <v/>
      </c>
      <c r="CQ46" s="238">
        <f t="shared" si="38"/>
        <v>6.4</v>
      </c>
      <c r="CR46" s="238">
        <f t="shared" si="39"/>
        <v>7.3</v>
      </c>
      <c r="CS46" s="238">
        <f t="shared" si="40"/>
        <v>7.3</v>
      </c>
      <c r="CT46" s="240">
        <f t="shared" si="41"/>
        <v>6.13</v>
      </c>
      <c r="CU46" s="241">
        <f t="shared" si="42"/>
        <v>6.4</v>
      </c>
      <c r="CV46" s="241">
        <f t="shared" si="43"/>
        <v>7.4</v>
      </c>
      <c r="CW46" s="241">
        <f t="shared" si="44"/>
        <v>4.7</v>
      </c>
      <c r="CX46" s="241">
        <f t="shared" si="45"/>
        <v>7.1</v>
      </c>
      <c r="CY46" s="241" t="str">
        <f t="shared" si="46"/>
        <v/>
      </c>
      <c r="CZ46" s="241" t="str">
        <f t="shared" si="47"/>
        <v/>
      </c>
      <c r="DA46" s="241" t="str">
        <f t="shared" si="48"/>
        <v/>
      </c>
      <c r="DB46" s="241" t="str">
        <f t="shared" si="49"/>
        <v/>
      </c>
      <c r="DC46" s="241" t="str">
        <f t="shared" si="50"/>
        <v/>
      </c>
      <c r="DD46" s="241">
        <f t="shared" si="51"/>
        <v>6.4</v>
      </c>
      <c r="DE46" s="241">
        <f t="shared" si="52"/>
        <v>7.3</v>
      </c>
      <c r="DF46" s="241">
        <f t="shared" si="53"/>
        <v>7.3</v>
      </c>
      <c r="DG46" s="242">
        <f t="shared" si="101"/>
        <v>6.64</v>
      </c>
      <c r="DH46" s="82" t="str">
        <f t="shared" si="54"/>
        <v/>
      </c>
      <c r="DI46" s="82" t="str">
        <f t="shared" si="55"/>
        <v/>
      </c>
      <c r="DJ46" s="82" t="str">
        <f t="shared" si="56"/>
        <v/>
      </c>
      <c r="DK46" s="82" t="str">
        <f t="shared" si="57"/>
        <v/>
      </c>
      <c r="DL46" s="82" t="str">
        <f t="shared" si="58"/>
        <v/>
      </c>
      <c r="DM46" s="82" t="str">
        <f t="shared" si="59"/>
        <v/>
      </c>
      <c r="DN46" s="82" t="str">
        <f t="shared" si="60"/>
        <v/>
      </c>
      <c r="DO46" s="82" t="str">
        <f t="shared" si="61"/>
        <v/>
      </c>
      <c r="DP46" s="82" t="str">
        <f t="shared" si="62"/>
        <v/>
      </c>
      <c r="DQ46" s="82" t="str">
        <f t="shared" si="63"/>
        <v/>
      </c>
      <c r="DR46" s="82" t="str">
        <f t="shared" si="64"/>
        <v/>
      </c>
      <c r="DS46" s="253" t="str">
        <f t="shared" si="65"/>
        <v/>
      </c>
      <c r="DT46" s="250">
        <f t="shared" si="66"/>
        <v>6.4</v>
      </c>
      <c r="DU46" s="238">
        <f t="shared" si="67"/>
        <v>7.4</v>
      </c>
      <c r="DV46" s="238">
        <f t="shared" si="68"/>
        <v>4.7</v>
      </c>
      <c r="DW46" s="238">
        <f t="shared" si="69"/>
        <v>7.1</v>
      </c>
      <c r="DX46" s="238">
        <f t="shared" si="70"/>
        <v>3.6</v>
      </c>
      <c r="DY46" s="238" t="str">
        <f t="shared" si="71"/>
        <v/>
      </c>
      <c r="DZ46" s="238" t="str">
        <f t="shared" si="72"/>
        <v/>
      </c>
      <c r="EA46" s="238" t="str">
        <f t="shared" si="73"/>
        <v/>
      </c>
      <c r="EB46" s="238" t="str">
        <f t="shared" si="74"/>
        <v/>
      </c>
      <c r="EC46" s="238">
        <f t="shared" si="75"/>
        <v>6.4</v>
      </c>
      <c r="ED46" s="238">
        <f t="shared" si="76"/>
        <v>7.3</v>
      </c>
      <c r="EE46" s="238">
        <f t="shared" si="77"/>
        <v>7.3</v>
      </c>
      <c r="EF46" s="255" t="str">
        <f t="shared" si="78"/>
        <v/>
      </c>
      <c r="EG46" s="257">
        <f t="shared" si="79"/>
        <v>6.4</v>
      </c>
      <c r="EH46" s="257">
        <f t="shared" si="80"/>
        <v>7.4</v>
      </c>
      <c r="EI46" s="257">
        <f t="shared" si="81"/>
        <v>4.7</v>
      </c>
      <c r="EJ46" s="257">
        <f t="shared" si="82"/>
        <v>7.1</v>
      </c>
      <c r="EK46" s="257" t="str">
        <f t="shared" si="83"/>
        <v/>
      </c>
      <c r="EL46" s="257" t="str">
        <f t="shared" si="84"/>
        <v/>
      </c>
      <c r="EM46" s="257" t="str">
        <f t="shared" si="85"/>
        <v/>
      </c>
      <c r="EN46" s="257" t="str">
        <f t="shared" si="86"/>
        <v/>
      </c>
      <c r="EO46" s="257" t="str">
        <f t="shared" si="87"/>
        <v/>
      </c>
      <c r="EP46" s="257">
        <f t="shared" si="88"/>
        <v>6.4</v>
      </c>
      <c r="EQ46" s="257">
        <f t="shared" si="89"/>
        <v>7.3</v>
      </c>
      <c r="ER46" s="257">
        <f t="shared" si="90"/>
        <v>7.3</v>
      </c>
      <c r="ES46" s="262">
        <f t="shared" si="102"/>
        <v>6.64</v>
      </c>
      <c r="ET46" s="307">
        <f t="shared" si="91"/>
        <v>6.13</v>
      </c>
    </row>
    <row r="47" spans="1:150" s="89" customFormat="1" ht="30" customHeight="1">
      <c r="A47" s="272">
        <f>IF($B47="","",SUBTOTAL(3,$B$11:B47))</f>
        <v>37</v>
      </c>
      <c r="B47" s="457" t="s">
        <v>1598</v>
      </c>
      <c r="C47" s="76" t="str">
        <f>IF($B47="","",VLOOKUP($B47,'DS LOP HKI'!$B$2:$D$951,2,0))</f>
        <v>Nguyễn Thành</v>
      </c>
      <c r="D47" s="77" t="str">
        <f>IF($B47="","",VLOOKUP($B47,'DS LOP HKI'!$B$2:$D$951,3,0))</f>
        <v>Phát</v>
      </c>
      <c r="E47" s="78"/>
      <c r="F47" s="79"/>
      <c r="G47" s="80">
        <v>3</v>
      </c>
      <c r="H47" s="81">
        <f>IF(OR($H$6="",$H$7=""),"",IF($B47="","",IF(ISNA(VLOOKUP($B47,'LT01'!$B$11:$M$80,12,FALSE)),"",IF(VLOOKUP($B47,'LT01'!$B$11:$M$80,12,FALSE)="","",VLOOKUP($B47,'LT01'!$B$11:$M$80,12,FALSE)))))</f>
        <v>6</v>
      </c>
      <c r="I47" s="82">
        <f>IF(OR($H$6="",$H$7=""),"",IF($B47="","",IF(ISNA(VLOOKUP($B47,'LT01'!$B$11:$N$80,13,FALSE)),"",VLOOKUP($B47,'LT01'!$B$11:$N$80,13,FALSE))))</f>
        <v>6.6</v>
      </c>
      <c r="J47" s="83"/>
      <c r="K47" s="84" t="str">
        <f>IF(OR($H$6="",$H$7=""),"",IF($B47="","",IF(ISNA(VLOOKUP($B47,'LT01'!$B$11:$Q$80,16,FALSE)),"",IF(VLOOKUP($B47,'LT01'!$B$11:$Q$80,16,FALSE)="","",VLOOKUP($B47,'LT01'!$B$11:$Q$80,16,FALSE)))))</f>
        <v/>
      </c>
      <c r="L47" s="85">
        <f>IF(OR($L$6="",$L$7=""),"",IF($B47="","",IF(ISNA(VLOOKUP($B47,'LT02'!$B$11:$M$80,12,FALSE)),"",IF(VLOOKUP($B47,'LT02'!$B$11:$M$80,12,FALSE)="","",VLOOKUP($B47,'LT02'!$B$11:$M$80,12,FALSE)))))</f>
        <v>9.3000000000000007</v>
      </c>
      <c r="M47" s="82">
        <f>IF(OR($L$6="",$L$7=""),"",IF($B47="","",IF(ISNA(VLOOKUP($B47,'LT02'!$B$11:$N$80,13,FALSE)),"",VLOOKUP($B47,'LT02'!$B$11:$N$80,13,FALSE))))</f>
        <v>8.9</v>
      </c>
      <c r="N47" s="83"/>
      <c r="O47" s="84" t="str">
        <f>IF(OR($L$6="",$L$7=""),"",IF($B47="","",IF(ISNA(VLOOKUP($B47,'LT02'!$B$11:$Q$80,16,FALSE)),"",VLOOKUP($B47,'LT02'!$B$11:$Q$80,16,FALSE))))</f>
        <v/>
      </c>
      <c r="P47" s="85">
        <f>IF(OR($P$6="",$P$7=""),"",IF($B47="","",IF(ISNA(VLOOKUP($B47,'LT03'!$B$11:$M$80,12,FALSE)),"",IF(VLOOKUP($B47,'LT03'!$B$11:$M$80,12,FALSE)="","",VLOOKUP($B47,'LT03'!$B$11:$M$80,12,FALSE)))))</f>
        <v>5.5</v>
      </c>
      <c r="Q47" s="82">
        <f>IF(OR($P$6="",$P$7=""),"",IF($B47="","",IF(ISNA(VLOOKUP($B47,'LT03'!$B$11:$N$80,13,FALSE)),"",VLOOKUP($B47,'LT03'!$B$11:$N$80,13,FALSE))))</f>
        <v>5.5</v>
      </c>
      <c r="R47" s="83"/>
      <c r="S47" s="84" t="str">
        <f>IF(OR($P$6="",$P$7=""),"",IF($B47="","",IF(ISNA(VLOOKUP($B47,'LT03'!$B$11:$Q$80,16,FALSE)),"",VLOOKUP($B47,'LT03'!$B$11:$Q$80,16,FALSE))))</f>
        <v/>
      </c>
      <c r="T47" s="85">
        <f>IF(OR($T$6="",$T$7=""),"",IF($B47="","",IF(ISNA(VLOOKUP($B47,'LT04'!$B$11:$M$80,12,FALSE)),"",IF(VLOOKUP($B47,'LT04'!$B$11:$M$80,12,FALSE)="","",VLOOKUP($B47,'LT04'!$B$11:$M$80,12,FALSE)))))</f>
        <v>8</v>
      </c>
      <c r="U47" s="82">
        <f>IF(OR($T$6="",$T$7=""),"",IF($B47="","",IF(ISNA(VLOOKUP($B47,'LT04'!$B$11:$N$80,13,FALSE)),"",VLOOKUP($B47,'LT04'!$B$11:$N$80,13,FALSE))))</f>
        <v>7.8</v>
      </c>
      <c r="V47" s="83"/>
      <c r="W47" s="84" t="str">
        <f>IF(OR($T$6="",$T$7=""),"",IF($B47="","",IF(ISNA(VLOOKUP($B47,'LT04'!$B$11:$Q$80,16,FALSE)),"",VLOOKUP($B47,'LT04'!$B$11:$Q$80,16,FALSE))))</f>
        <v/>
      </c>
      <c r="X47" s="85">
        <f>IF(OR($X$6="",$X$7=""),"",IF($B47="","",IF(ISNA(VLOOKUP($B47,'LT05'!$B$11:$M$80,12,FALSE)),"",IF(VLOOKUP($B47,'LT05'!$B$11:$M$80,12,FALSE)="","",VLOOKUP($B47,'LT05'!$B$11:$M$80,12,FALSE)))))</f>
        <v>4.5</v>
      </c>
      <c r="Y47" s="82">
        <f>IF(OR($X$6="",$X$7=""),"",IF($B47="","",IF(ISNA(VLOOKUP($B47,'LT05'!$B$11:$N$80,13,FALSE)),"",VLOOKUP($B47,'LT05'!$B$11:$N$80,13,FALSE))))</f>
        <v>6.2</v>
      </c>
      <c r="Z47" s="83"/>
      <c r="AA47" s="84" t="str">
        <f>IF(OR($X$6="",$X$7=""),"",IF($B47="","",IF(ISNA(VLOOKUP($B47,'LT05'!$B$11:$Q$80,16,FALSE)),"",VLOOKUP($B47,'LT05'!$B$11:$Q$80,16,FALSE))))</f>
        <v/>
      </c>
      <c r="AB47" s="85" t="str">
        <f>IF(OR($AB$6="",$AB$7=""),"",IF($B47="","",IF(ISNA(VLOOKUP($B47,'LT06'!$B$11:$M$80,12,FALSE)),"",IF(VLOOKUP($B47,'LT06'!$B$11:$M$80,12,FALSE)="","",VLOOKUP($B47,'LT06'!$B$11:$M$80,12,FALSE)))))</f>
        <v/>
      </c>
      <c r="AC47" s="82" t="str">
        <f>IF(OR($AB$6="",$AB$7=""),"",IF($B47="","",IF(ISNA(VLOOKUP($B47,'LT06'!$B$11:$N$80,13,FALSE)),"",VLOOKUP($B47,'LT06'!$B$11:$N$80,13,FALSE))))</f>
        <v/>
      </c>
      <c r="AD47" s="83"/>
      <c r="AE47" s="84" t="str">
        <f>IF(OR($AB$6="",$AB$7=""),"",IF($B47="","",IF(ISNA(VLOOKUP($B47,'LT06'!$B$11:$Q$80,16,FALSE)),"",VLOOKUP($B47,'LT06'!$B$11:$Q$80,16,FALSE))))</f>
        <v/>
      </c>
      <c r="AF47" s="85" t="str">
        <f>IF(OR($AF$6="",$AF$7=""),"",IF($B47="","",IF(ISNA(VLOOKUP($B47,'LT07'!$B$11:$M$80,12,FALSE)),"",IF(VLOOKUP($B47,'LT07'!$B$11:$M$80,12,FALSE)="","",VLOOKUP($B47,'LT07'!$B$11:$M$80,12,FALSE)))))</f>
        <v/>
      </c>
      <c r="AG47" s="82" t="str">
        <f>IF(OR($AF$6="",$AF$7=""),"",IF($B47="","",IF(ISNA(VLOOKUP($B47,'LT07'!$B$11:$N$80,13,FALSE)),"",VLOOKUP($B47,'LT07'!$B$11:$N$80,13,FALSE))))</f>
        <v/>
      </c>
      <c r="AH47" s="83"/>
      <c r="AI47" s="84" t="str">
        <f>IF(OR($AF$6="",$AF$7=""),"",IF($B47="","",IF(ISNA(VLOOKUP($B47,'LT07'!$B$11:$Q$80,16,FALSE)),"",VLOOKUP($B47,'LT07'!$B$11:$Q$80,16,FALSE))))</f>
        <v/>
      </c>
      <c r="AJ47" s="304"/>
      <c r="AK47" s="82" t="str">
        <f>IF(OR($AJ$6="",$AJ$7=""),"",IF($B47="","",IF(ISNA(VLOOKUP($B47,'DO AN'!$B$11:$L$80,11,FALSE)),"",IF(VLOOKUP($B47,'DO AN'!$B$11:$L$80,11,FALSE)="","",VLOOKUP($B47,'DO AN'!$B$11:$L$80,11,FALSE)))))</f>
        <v/>
      </c>
      <c r="AL47" s="83"/>
      <c r="AM47" s="451"/>
      <c r="AN47" s="83"/>
      <c r="AO47" s="82" t="str">
        <f>IF(OR($AN$6="",$AN$7=""),"",IF($B47="","",IF(ISNA(VLOOKUP($B47,'DO AN 2'!$B$11:$L$80,11,FALSE)),"",IF(VLOOKUP($B47,'DO AN 2'!$B$11:$L$80,11,FALSE)="","",VLOOKUP($B47,'DO AN 2'!$B$11:$L$80,11,FALSE)))))</f>
        <v/>
      </c>
      <c r="AP47" s="83"/>
      <c r="AQ47" s="83"/>
      <c r="AR47" s="454"/>
      <c r="AS47" s="82">
        <f>IF(OR($AR$6="",$AR$7=""),"",IF($B47="","",IF(ISNA(VLOOKUP($B47,'TH01'!$B$11:$O$80,14,FALSE)),"",VLOOKUP($B47,'TH01'!$B$11:$O$80,14,FALSE))))</f>
        <v>5.2</v>
      </c>
      <c r="AT47" s="83"/>
      <c r="AU47" s="303"/>
      <c r="AV47" s="304"/>
      <c r="AW47" s="82">
        <f>IF(OR($AV$6="",$AV$7=""),"",IF($B47="","",IF(ISNA(VLOOKUP($B47,'TH02'!$B$11:$O$80,14,FALSE)),"",VLOOKUP($B47,'TH02'!$B$11:$O$80,14,FALSE))))</f>
        <v>8.8000000000000007</v>
      </c>
      <c r="AX47" s="83"/>
      <c r="AY47" s="303"/>
      <c r="AZ47" s="304"/>
      <c r="BA47" s="82">
        <f>IF(OR($AZ$6="",$AZ$7=""),"",IF($B47="","",IF(ISNA(VLOOKUP($B47,'TH03'!$B$11:$O$80,14,FALSE)),"",VLOOKUP($B47,'TH03'!$B$11:$O$80,14,FALSE))))</f>
        <v>8.3000000000000007</v>
      </c>
      <c r="BB47" s="83"/>
      <c r="BC47" s="303"/>
      <c r="BD47" s="86">
        <f t="shared" si="11"/>
        <v>7.08</v>
      </c>
      <c r="BE47" s="86" t="str">
        <f t="shared" si="12"/>
        <v/>
      </c>
      <c r="BF47" s="87">
        <v>70</v>
      </c>
      <c r="BG47" s="88" t="str">
        <f t="shared" si="92"/>
        <v>Khá</v>
      </c>
      <c r="BH47" s="88" t="str">
        <f t="shared" si="93"/>
        <v/>
      </c>
      <c r="BI47" s="87"/>
      <c r="BJ47" s="86" t="str">
        <f t="shared" si="94"/>
        <v/>
      </c>
      <c r="BK47" s="265">
        <f t="shared" si="95"/>
        <v>18</v>
      </c>
      <c r="BL47" s="88">
        <f t="shared" si="96"/>
        <v>0</v>
      </c>
      <c r="BM47" s="88">
        <f t="shared" si="97"/>
        <v>18</v>
      </c>
      <c r="BN47" s="88">
        <f t="shared" si="98"/>
        <v>0</v>
      </c>
      <c r="BO47" s="86">
        <f t="shared" si="13"/>
        <v>7.08</v>
      </c>
      <c r="BP47" s="86" t="str">
        <f t="shared" si="99"/>
        <v>BT</v>
      </c>
      <c r="BQ47" s="86">
        <f t="shared" si="14"/>
        <v>7.08</v>
      </c>
      <c r="BR47" s="86" t="str">
        <f t="shared" si="100"/>
        <v>BT</v>
      </c>
      <c r="BS47" s="87"/>
      <c r="BT47" s="276">
        <f t="shared" si="15"/>
        <v>1</v>
      </c>
      <c r="BU47" s="238">
        <f t="shared" si="16"/>
        <v>6</v>
      </c>
      <c r="BV47" s="238">
        <f t="shared" si="17"/>
        <v>9.3000000000000007</v>
      </c>
      <c r="BW47" s="238">
        <f t="shared" si="18"/>
        <v>5.5</v>
      </c>
      <c r="BX47" s="238">
        <f t="shared" si="19"/>
        <v>8</v>
      </c>
      <c r="BY47" s="238">
        <f t="shared" si="20"/>
        <v>4.5</v>
      </c>
      <c r="BZ47" s="238" t="str">
        <f t="shared" si="21"/>
        <v/>
      </c>
      <c r="CA47" s="238" t="str">
        <f t="shared" si="22"/>
        <v/>
      </c>
      <c r="CB47" s="238" t="str">
        <f t="shared" si="23"/>
        <v/>
      </c>
      <c r="CC47" s="238" t="str">
        <f t="shared" si="24"/>
        <v/>
      </c>
      <c r="CD47" s="238">
        <f t="shared" si="25"/>
        <v>5.2</v>
      </c>
      <c r="CE47" s="238">
        <f t="shared" si="26"/>
        <v>8.8000000000000007</v>
      </c>
      <c r="CF47" s="238">
        <f t="shared" si="27"/>
        <v>8.3000000000000007</v>
      </c>
      <c r="CG47" s="239">
        <f t="shared" si="28"/>
        <v>0</v>
      </c>
      <c r="CH47" s="238">
        <f t="shared" si="29"/>
        <v>6.6</v>
      </c>
      <c r="CI47" s="238">
        <f t="shared" si="30"/>
        <v>8.9</v>
      </c>
      <c r="CJ47" s="238">
        <f t="shared" si="31"/>
        <v>5.5</v>
      </c>
      <c r="CK47" s="238">
        <f t="shared" si="32"/>
        <v>7.8</v>
      </c>
      <c r="CL47" s="238">
        <f t="shared" si="33"/>
        <v>6.2</v>
      </c>
      <c r="CM47" s="238" t="str">
        <f t="shared" si="34"/>
        <v/>
      </c>
      <c r="CN47" s="238" t="str">
        <f t="shared" si="35"/>
        <v/>
      </c>
      <c r="CO47" s="238" t="str">
        <f t="shared" si="36"/>
        <v/>
      </c>
      <c r="CP47" s="238" t="str">
        <f t="shared" si="37"/>
        <v/>
      </c>
      <c r="CQ47" s="238">
        <f t="shared" si="38"/>
        <v>5.2</v>
      </c>
      <c r="CR47" s="238">
        <f t="shared" si="39"/>
        <v>8.8000000000000007</v>
      </c>
      <c r="CS47" s="238">
        <f t="shared" si="40"/>
        <v>8.3000000000000007</v>
      </c>
      <c r="CT47" s="240">
        <f t="shared" si="41"/>
        <v>7.08</v>
      </c>
      <c r="CU47" s="241">
        <f t="shared" si="42"/>
        <v>6.6</v>
      </c>
      <c r="CV47" s="241">
        <f t="shared" si="43"/>
        <v>8.9</v>
      </c>
      <c r="CW47" s="241">
        <f t="shared" si="44"/>
        <v>5.5</v>
      </c>
      <c r="CX47" s="241">
        <f t="shared" si="45"/>
        <v>7.8</v>
      </c>
      <c r="CY47" s="241">
        <f t="shared" si="46"/>
        <v>6.2</v>
      </c>
      <c r="CZ47" s="241" t="str">
        <f t="shared" si="47"/>
        <v/>
      </c>
      <c r="DA47" s="241" t="str">
        <f t="shared" si="48"/>
        <v/>
      </c>
      <c r="DB47" s="241" t="str">
        <f t="shared" si="49"/>
        <v/>
      </c>
      <c r="DC47" s="241" t="str">
        <f t="shared" si="50"/>
        <v/>
      </c>
      <c r="DD47" s="241">
        <f t="shared" si="51"/>
        <v>5.2</v>
      </c>
      <c r="DE47" s="241">
        <f t="shared" si="52"/>
        <v>8.8000000000000007</v>
      </c>
      <c r="DF47" s="241">
        <f t="shared" si="53"/>
        <v>8.3000000000000007</v>
      </c>
      <c r="DG47" s="242">
        <f t="shared" si="101"/>
        <v>7.08</v>
      </c>
      <c r="DH47" s="82" t="str">
        <f t="shared" si="54"/>
        <v/>
      </c>
      <c r="DI47" s="82" t="str">
        <f t="shared" si="55"/>
        <v/>
      </c>
      <c r="DJ47" s="82" t="str">
        <f t="shared" si="56"/>
        <v/>
      </c>
      <c r="DK47" s="82" t="str">
        <f t="shared" si="57"/>
        <v/>
      </c>
      <c r="DL47" s="82" t="str">
        <f t="shared" si="58"/>
        <v/>
      </c>
      <c r="DM47" s="82" t="str">
        <f t="shared" si="59"/>
        <v/>
      </c>
      <c r="DN47" s="82" t="str">
        <f t="shared" si="60"/>
        <v/>
      </c>
      <c r="DO47" s="82" t="str">
        <f t="shared" si="61"/>
        <v/>
      </c>
      <c r="DP47" s="82" t="str">
        <f t="shared" si="62"/>
        <v/>
      </c>
      <c r="DQ47" s="82" t="str">
        <f t="shared" si="63"/>
        <v/>
      </c>
      <c r="DR47" s="82" t="str">
        <f t="shared" si="64"/>
        <v/>
      </c>
      <c r="DS47" s="253" t="str">
        <f t="shared" si="65"/>
        <v/>
      </c>
      <c r="DT47" s="250">
        <f t="shared" si="66"/>
        <v>6.6</v>
      </c>
      <c r="DU47" s="238">
        <f t="shared" si="67"/>
        <v>8.9</v>
      </c>
      <c r="DV47" s="238">
        <f t="shared" si="68"/>
        <v>5.5</v>
      </c>
      <c r="DW47" s="238">
        <f t="shared" si="69"/>
        <v>7.8</v>
      </c>
      <c r="DX47" s="238">
        <f t="shared" si="70"/>
        <v>6.2</v>
      </c>
      <c r="DY47" s="238" t="str">
        <f t="shared" si="71"/>
        <v/>
      </c>
      <c r="DZ47" s="238" t="str">
        <f t="shared" si="72"/>
        <v/>
      </c>
      <c r="EA47" s="238" t="str">
        <f t="shared" si="73"/>
        <v/>
      </c>
      <c r="EB47" s="238" t="str">
        <f t="shared" si="74"/>
        <v/>
      </c>
      <c r="EC47" s="238">
        <f t="shared" si="75"/>
        <v>5.2</v>
      </c>
      <c r="ED47" s="238">
        <f t="shared" si="76"/>
        <v>8.8000000000000007</v>
      </c>
      <c r="EE47" s="238">
        <f t="shared" si="77"/>
        <v>8.3000000000000007</v>
      </c>
      <c r="EF47" s="255" t="str">
        <f t="shared" si="78"/>
        <v/>
      </c>
      <c r="EG47" s="257">
        <f t="shared" si="79"/>
        <v>6.6</v>
      </c>
      <c r="EH47" s="257">
        <f t="shared" si="80"/>
        <v>8.9</v>
      </c>
      <c r="EI47" s="257">
        <f t="shared" si="81"/>
        <v>5.5</v>
      </c>
      <c r="EJ47" s="257">
        <f t="shared" si="82"/>
        <v>7.8</v>
      </c>
      <c r="EK47" s="257">
        <f t="shared" si="83"/>
        <v>6.2</v>
      </c>
      <c r="EL47" s="257" t="str">
        <f t="shared" si="84"/>
        <v/>
      </c>
      <c r="EM47" s="257" t="str">
        <f t="shared" si="85"/>
        <v/>
      </c>
      <c r="EN47" s="257" t="str">
        <f t="shared" si="86"/>
        <v/>
      </c>
      <c r="EO47" s="257" t="str">
        <f t="shared" si="87"/>
        <v/>
      </c>
      <c r="EP47" s="257">
        <f t="shared" si="88"/>
        <v>5.2</v>
      </c>
      <c r="EQ47" s="257">
        <f t="shared" si="89"/>
        <v>8.8000000000000007</v>
      </c>
      <c r="ER47" s="257">
        <f t="shared" si="90"/>
        <v>8.3000000000000007</v>
      </c>
      <c r="ES47" s="262">
        <f t="shared" si="102"/>
        <v>7.08</v>
      </c>
      <c r="ET47" s="307">
        <f t="shared" si="91"/>
        <v>7.08</v>
      </c>
    </row>
    <row r="48" spans="1:150" s="89" customFormat="1" ht="30" customHeight="1">
      <c r="A48" s="272">
        <f>IF($B48="","",SUBTOTAL(3,$B$11:B48))</f>
        <v>38</v>
      </c>
      <c r="B48" s="457" t="s">
        <v>1599</v>
      </c>
      <c r="C48" s="76" t="str">
        <f>IF($B48="","",VLOOKUP($B48,'DS LOP HKI'!$B$2:$D$951,2,0))</f>
        <v>Huỳnh Thanh</v>
      </c>
      <c r="D48" s="77" t="str">
        <f>IF($B48="","",VLOOKUP($B48,'DS LOP HKI'!$B$2:$D$951,3,0))</f>
        <v>Phú</v>
      </c>
      <c r="E48" s="78"/>
      <c r="F48" s="79"/>
      <c r="G48" s="80"/>
      <c r="H48" s="81">
        <f>IF(OR($H$6="",$H$7=""),"",IF($B48="","",IF(ISNA(VLOOKUP($B48,'LT01'!$B$11:$M$80,12,FALSE)),"",IF(VLOOKUP($B48,'LT01'!$B$11:$M$80,12,FALSE)="","",VLOOKUP($B48,'LT01'!$B$11:$M$80,12,FALSE)))))</f>
        <v>0</v>
      </c>
      <c r="I48" s="82">
        <f>IF(OR($H$6="",$H$7=""),"",IF($B48="","",IF(ISNA(VLOOKUP($B48,'LT01'!$B$11:$N$80,13,FALSE)),"",VLOOKUP($B48,'LT01'!$B$11:$N$80,13,FALSE))))</f>
        <v>0</v>
      </c>
      <c r="J48" s="83"/>
      <c r="K48" s="84" t="str">
        <f>IF(OR($H$6="",$H$7=""),"",IF($B48="","",IF(ISNA(VLOOKUP($B48,'LT01'!$B$11:$Q$80,16,FALSE)),"",IF(VLOOKUP($B48,'LT01'!$B$11:$Q$80,16,FALSE)="","",VLOOKUP($B48,'LT01'!$B$11:$Q$80,16,FALSE)))))</f>
        <v/>
      </c>
      <c r="L48" s="85">
        <f>IF(OR($L$6="",$L$7=""),"",IF($B48="","",IF(ISNA(VLOOKUP($B48,'LT02'!$B$11:$M$80,12,FALSE)),"",IF(VLOOKUP($B48,'LT02'!$B$11:$M$80,12,FALSE)="","",VLOOKUP($B48,'LT02'!$B$11:$M$80,12,FALSE)))))</f>
        <v>0</v>
      </c>
      <c r="M48" s="82">
        <f>IF(OR($L$6="",$L$7=""),"",IF($B48="","",IF(ISNA(VLOOKUP($B48,'LT02'!$B$11:$N$80,13,FALSE)),"",VLOOKUP($B48,'LT02'!$B$11:$N$80,13,FALSE))))</f>
        <v>0</v>
      </c>
      <c r="N48" s="83"/>
      <c r="O48" s="84" t="str">
        <f>IF(OR($L$6="",$L$7=""),"",IF($B48="","",IF(ISNA(VLOOKUP($B48,'LT02'!$B$11:$Q$80,16,FALSE)),"",VLOOKUP($B48,'LT02'!$B$11:$Q$80,16,FALSE))))</f>
        <v/>
      </c>
      <c r="P48" s="85">
        <f>IF(OR($P$6="",$P$7=""),"",IF($B48="","",IF(ISNA(VLOOKUP($B48,'LT03'!$B$11:$M$80,12,FALSE)),"",IF(VLOOKUP($B48,'LT03'!$B$11:$M$80,12,FALSE)="","",VLOOKUP($B48,'LT03'!$B$11:$M$80,12,FALSE)))))</f>
        <v>0</v>
      </c>
      <c r="Q48" s="82">
        <f>IF(OR($P$6="",$P$7=""),"",IF($B48="","",IF(ISNA(VLOOKUP($B48,'LT03'!$B$11:$N$80,13,FALSE)),"",VLOOKUP($B48,'LT03'!$B$11:$N$80,13,FALSE))))</f>
        <v>0</v>
      </c>
      <c r="R48" s="83"/>
      <c r="S48" s="84" t="str">
        <f>IF(OR($P$6="",$P$7=""),"",IF($B48="","",IF(ISNA(VLOOKUP($B48,'LT03'!$B$11:$Q$80,16,FALSE)),"",VLOOKUP($B48,'LT03'!$B$11:$Q$80,16,FALSE))))</f>
        <v/>
      </c>
      <c r="T48" s="85">
        <f>IF(OR($T$6="",$T$7=""),"",IF($B48="","",IF(ISNA(VLOOKUP($B48,'LT04'!$B$11:$M$80,12,FALSE)),"",IF(VLOOKUP($B48,'LT04'!$B$11:$M$80,12,FALSE)="","",VLOOKUP($B48,'LT04'!$B$11:$M$80,12,FALSE)))))</f>
        <v>0</v>
      </c>
      <c r="U48" s="82">
        <f>IF(OR($T$6="",$T$7=""),"",IF($B48="","",IF(ISNA(VLOOKUP($B48,'LT04'!$B$11:$N$80,13,FALSE)),"",VLOOKUP($B48,'LT04'!$B$11:$N$80,13,FALSE))))</f>
        <v>0</v>
      </c>
      <c r="V48" s="83"/>
      <c r="W48" s="84" t="str">
        <f>IF(OR($T$6="",$T$7=""),"",IF($B48="","",IF(ISNA(VLOOKUP($B48,'LT04'!$B$11:$Q$80,16,FALSE)),"",VLOOKUP($B48,'LT04'!$B$11:$Q$80,16,FALSE))))</f>
        <v/>
      </c>
      <c r="X48" s="85">
        <f>IF(OR($X$6="",$X$7=""),"",IF($B48="","",IF(ISNA(VLOOKUP($B48,'LT05'!$B$11:$M$80,12,FALSE)),"",IF(VLOOKUP($B48,'LT05'!$B$11:$M$80,12,FALSE)="","",VLOOKUP($B48,'LT05'!$B$11:$M$80,12,FALSE)))))</f>
        <v>0</v>
      </c>
      <c r="Y48" s="82">
        <f>IF(OR($X$6="",$X$7=""),"",IF($B48="","",IF(ISNA(VLOOKUP($B48,'LT05'!$B$11:$N$80,13,FALSE)),"",VLOOKUP($B48,'LT05'!$B$11:$N$80,13,FALSE))))</f>
        <v>0</v>
      </c>
      <c r="Z48" s="83"/>
      <c r="AA48" s="84" t="str">
        <f>IF(OR($X$6="",$X$7=""),"",IF($B48="","",IF(ISNA(VLOOKUP($B48,'LT05'!$B$11:$Q$80,16,FALSE)),"",VLOOKUP($B48,'LT05'!$B$11:$Q$80,16,FALSE))))</f>
        <v/>
      </c>
      <c r="AB48" s="85" t="str">
        <f>IF(OR($AB$6="",$AB$7=""),"",IF($B48="","",IF(ISNA(VLOOKUP($B48,'LT06'!$B$11:$M$80,12,FALSE)),"",IF(VLOOKUP($B48,'LT06'!$B$11:$M$80,12,FALSE)="","",VLOOKUP($B48,'LT06'!$B$11:$M$80,12,FALSE)))))</f>
        <v/>
      </c>
      <c r="AC48" s="82" t="str">
        <f>IF(OR($AB$6="",$AB$7=""),"",IF($B48="","",IF(ISNA(VLOOKUP($B48,'LT06'!$B$11:$N$80,13,FALSE)),"",VLOOKUP($B48,'LT06'!$B$11:$N$80,13,FALSE))))</f>
        <v/>
      </c>
      <c r="AD48" s="83"/>
      <c r="AE48" s="84" t="str">
        <f>IF(OR($AB$6="",$AB$7=""),"",IF($B48="","",IF(ISNA(VLOOKUP($B48,'LT06'!$B$11:$Q$80,16,FALSE)),"",VLOOKUP($B48,'LT06'!$B$11:$Q$80,16,FALSE))))</f>
        <v/>
      </c>
      <c r="AF48" s="85" t="str">
        <f>IF(OR($AF$6="",$AF$7=""),"",IF($B48="","",IF(ISNA(VLOOKUP($B48,'LT07'!$B$11:$M$80,12,FALSE)),"",IF(VLOOKUP($B48,'LT07'!$B$11:$M$80,12,FALSE)="","",VLOOKUP($B48,'LT07'!$B$11:$M$80,12,FALSE)))))</f>
        <v/>
      </c>
      <c r="AG48" s="82" t="str">
        <f>IF(OR($AF$6="",$AF$7=""),"",IF($B48="","",IF(ISNA(VLOOKUP($B48,'LT07'!$B$11:$N$80,13,FALSE)),"",VLOOKUP($B48,'LT07'!$B$11:$N$80,13,FALSE))))</f>
        <v/>
      </c>
      <c r="AH48" s="83"/>
      <c r="AI48" s="84" t="str">
        <f>IF(OR($AF$6="",$AF$7=""),"",IF($B48="","",IF(ISNA(VLOOKUP($B48,'LT07'!$B$11:$Q$80,16,FALSE)),"",VLOOKUP($B48,'LT07'!$B$11:$Q$80,16,FALSE))))</f>
        <v/>
      </c>
      <c r="AJ48" s="304"/>
      <c r="AK48" s="82" t="str">
        <f>IF(OR($AJ$6="",$AJ$7=""),"",IF($B48="","",IF(ISNA(VLOOKUP($B48,'DO AN'!$B$11:$L$80,11,FALSE)),"",IF(VLOOKUP($B48,'DO AN'!$B$11:$L$80,11,FALSE)="","",VLOOKUP($B48,'DO AN'!$B$11:$L$80,11,FALSE)))))</f>
        <v/>
      </c>
      <c r="AL48" s="83"/>
      <c r="AM48" s="451"/>
      <c r="AN48" s="83"/>
      <c r="AO48" s="82" t="str">
        <f>IF(OR($AN$6="",$AN$7=""),"",IF($B48="","",IF(ISNA(VLOOKUP($B48,'DO AN 2'!$B$11:$L$80,11,FALSE)),"",IF(VLOOKUP($B48,'DO AN 2'!$B$11:$L$80,11,FALSE)="","",VLOOKUP($B48,'DO AN 2'!$B$11:$L$80,11,FALSE)))))</f>
        <v/>
      </c>
      <c r="AP48" s="83"/>
      <c r="AQ48" s="83"/>
      <c r="AR48" s="454"/>
      <c r="AS48" s="82">
        <f>IF(OR($AR$6="",$AR$7=""),"",IF($B48="","",IF(ISNA(VLOOKUP($B48,'TH01'!$B$11:$O$80,14,FALSE)),"",VLOOKUP($B48,'TH01'!$B$11:$O$80,14,FALSE))))</f>
        <v>0</v>
      </c>
      <c r="AT48" s="83"/>
      <c r="AU48" s="303"/>
      <c r="AV48" s="304"/>
      <c r="AW48" s="82">
        <f>IF(OR($AV$6="",$AV$7=""),"",IF($B48="","",IF(ISNA(VLOOKUP($B48,'TH02'!$B$11:$O$80,14,FALSE)),"",VLOOKUP($B48,'TH02'!$B$11:$O$80,14,FALSE))))</f>
        <v>0</v>
      </c>
      <c r="AX48" s="83"/>
      <c r="AY48" s="303"/>
      <c r="AZ48" s="304"/>
      <c r="BA48" s="82">
        <f>IF(OR($AZ$6="",$AZ$7=""),"",IF($B48="","",IF(ISNA(VLOOKUP($B48,'TH03'!$B$11:$O$80,14,FALSE)),"",VLOOKUP($B48,'TH03'!$B$11:$O$80,14,FALSE))))</f>
        <v>0</v>
      </c>
      <c r="BB48" s="83"/>
      <c r="BC48" s="303"/>
      <c r="BD48" s="86">
        <f t="shared" si="11"/>
        <v>0</v>
      </c>
      <c r="BE48" s="86" t="str">
        <f t="shared" si="12"/>
        <v/>
      </c>
      <c r="BF48" s="87">
        <v>0</v>
      </c>
      <c r="BG48" s="88" t="str">
        <f t="shared" si="92"/>
        <v>Kém</v>
      </c>
      <c r="BH48" s="88" t="str">
        <f t="shared" si="93"/>
        <v/>
      </c>
      <c r="BI48" s="87"/>
      <c r="BJ48" s="86" t="str">
        <f t="shared" si="94"/>
        <v>Cảnh Báo</v>
      </c>
      <c r="BK48" s="265">
        <f t="shared" si="95"/>
        <v>0</v>
      </c>
      <c r="BL48" s="88">
        <f t="shared" si="96"/>
        <v>18</v>
      </c>
      <c r="BM48" s="88">
        <f t="shared" si="97"/>
        <v>0</v>
      </c>
      <c r="BN48" s="88">
        <f t="shared" si="98"/>
        <v>18</v>
      </c>
      <c r="BO48" s="86">
        <f t="shared" si="13"/>
        <v>0</v>
      </c>
      <c r="BP48" s="86" t="str">
        <f t="shared" si="99"/>
        <v>Yếu</v>
      </c>
      <c r="BQ48" s="86">
        <f t="shared" si="14"/>
        <v>0</v>
      </c>
      <c r="BR48" s="86" t="str">
        <f t="shared" si="100"/>
        <v>Yếu</v>
      </c>
      <c r="BS48" s="87" t="s">
        <v>2707</v>
      </c>
      <c r="BT48" s="276">
        <f t="shared" si="15"/>
        <v>8</v>
      </c>
      <c r="BU48" s="238">
        <f t="shared" si="16"/>
        <v>0</v>
      </c>
      <c r="BV48" s="238">
        <f t="shared" si="17"/>
        <v>0</v>
      </c>
      <c r="BW48" s="238">
        <f t="shared" si="18"/>
        <v>0</v>
      </c>
      <c r="BX48" s="238">
        <f t="shared" si="19"/>
        <v>0</v>
      </c>
      <c r="BY48" s="238">
        <f t="shared" si="20"/>
        <v>0</v>
      </c>
      <c r="BZ48" s="238" t="str">
        <f t="shared" si="21"/>
        <v/>
      </c>
      <c r="CA48" s="238" t="str">
        <f t="shared" si="22"/>
        <v/>
      </c>
      <c r="CB48" s="238" t="str">
        <f t="shared" si="23"/>
        <v/>
      </c>
      <c r="CC48" s="238" t="str">
        <f t="shared" si="24"/>
        <v/>
      </c>
      <c r="CD48" s="238">
        <f t="shared" si="25"/>
        <v>0</v>
      </c>
      <c r="CE48" s="238">
        <f t="shared" si="26"/>
        <v>0</v>
      </c>
      <c r="CF48" s="238">
        <f t="shared" si="27"/>
        <v>0</v>
      </c>
      <c r="CG48" s="239">
        <f t="shared" si="28"/>
        <v>8</v>
      </c>
      <c r="CH48" s="238">
        <f t="shared" si="29"/>
        <v>0</v>
      </c>
      <c r="CI48" s="238">
        <f t="shared" si="30"/>
        <v>0</v>
      </c>
      <c r="CJ48" s="238">
        <f t="shared" si="31"/>
        <v>0</v>
      </c>
      <c r="CK48" s="238">
        <f t="shared" si="32"/>
        <v>0</v>
      </c>
      <c r="CL48" s="238">
        <f t="shared" si="33"/>
        <v>0</v>
      </c>
      <c r="CM48" s="238" t="str">
        <f t="shared" si="34"/>
        <v/>
      </c>
      <c r="CN48" s="238" t="str">
        <f t="shared" si="35"/>
        <v/>
      </c>
      <c r="CO48" s="238" t="str">
        <f t="shared" si="36"/>
        <v/>
      </c>
      <c r="CP48" s="238" t="str">
        <f t="shared" si="37"/>
        <v/>
      </c>
      <c r="CQ48" s="238">
        <f t="shared" si="38"/>
        <v>0</v>
      </c>
      <c r="CR48" s="238">
        <f t="shared" si="39"/>
        <v>0</v>
      </c>
      <c r="CS48" s="238">
        <f t="shared" si="40"/>
        <v>0</v>
      </c>
      <c r="CT48" s="240">
        <f t="shared" si="41"/>
        <v>0</v>
      </c>
      <c r="CU48" s="241" t="str">
        <f t="shared" si="42"/>
        <v/>
      </c>
      <c r="CV48" s="241" t="str">
        <f t="shared" si="43"/>
        <v/>
      </c>
      <c r="CW48" s="241" t="str">
        <f t="shared" si="44"/>
        <v/>
      </c>
      <c r="CX48" s="241" t="str">
        <f t="shared" si="45"/>
        <v/>
      </c>
      <c r="CY48" s="241" t="str">
        <f t="shared" si="46"/>
        <v/>
      </c>
      <c r="CZ48" s="241" t="str">
        <f t="shared" si="47"/>
        <v/>
      </c>
      <c r="DA48" s="241" t="str">
        <f t="shared" si="48"/>
        <v/>
      </c>
      <c r="DB48" s="241" t="str">
        <f t="shared" si="49"/>
        <v/>
      </c>
      <c r="DC48" s="241" t="str">
        <f t="shared" si="50"/>
        <v/>
      </c>
      <c r="DD48" s="241" t="str">
        <f t="shared" si="51"/>
        <v/>
      </c>
      <c r="DE48" s="241" t="str">
        <f t="shared" si="52"/>
        <v/>
      </c>
      <c r="DF48" s="241" t="str">
        <f t="shared" si="53"/>
        <v/>
      </c>
      <c r="DG48" s="242">
        <f t="shared" si="101"/>
        <v>0</v>
      </c>
      <c r="DH48" s="82" t="str">
        <f t="shared" si="54"/>
        <v/>
      </c>
      <c r="DI48" s="82" t="str">
        <f t="shared" si="55"/>
        <v/>
      </c>
      <c r="DJ48" s="82" t="str">
        <f t="shared" si="56"/>
        <v/>
      </c>
      <c r="DK48" s="82" t="str">
        <f t="shared" si="57"/>
        <v/>
      </c>
      <c r="DL48" s="82" t="str">
        <f t="shared" si="58"/>
        <v/>
      </c>
      <c r="DM48" s="82" t="str">
        <f t="shared" si="59"/>
        <v/>
      </c>
      <c r="DN48" s="82" t="str">
        <f t="shared" si="60"/>
        <v/>
      </c>
      <c r="DO48" s="82" t="str">
        <f t="shared" si="61"/>
        <v/>
      </c>
      <c r="DP48" s="82" t="str">
        <f t="shared" si="62"/>
        <v/>
      </c>
      <c r="DQ48" s="82" t="str">
        <f t="shared" si="63"/>
        <v/>
      </c>
      <c r="DR48" s="82" t="str">
        <f t="shared" si="64"/>
        <v/>
      </c>
      <c r="DS48" s="253" t="str">
        <f t="shared" si="65"/>
        <v/>
      </c>
      <c r="DT48" s="250">
        <f t="shared" si="66"/>
        <v>0</v>
      </c>
      <c r="DU48" s="238">
        <f t="shared" si="67"/>
        <v>0</v>
      </c>
      <c r="DV48" s="238">
        <f t="shared" si="68"/>
        <v>0</v>
      </c>
      <c r="DW48" s="238">
        <f t="shared" si="69"/>
        <v>0</v>
      </c>
      <c r="DX48" s="238">
        <f t="shared" si="70"/>
        <v>0</v>
      </c>
      <c r="DY48" s="238" t="str">
        <f t="shared" si="71"/>
        <v/>
      </c>
      <c r="DZ48" s="238" t="str">
        <f t="shared" si="72"/>
        <v/>
      </c>
      <c r="EA48" s="238" t="str">
        <f t="shared" si="73"/>
        <v/>
      </c>
      <c r="EB48" s="238" t="str">
        <f t="shared" si="74"/>
        <v/>
      </c>
      <c r="EC48" s="238">
        <f t="shared" si="75"/>
        <v>0</v>
      </c>
      <c r="ED48" s="238">
        <f t="shared" si="76"/>
        <v>0</v>
      </c>
      <c r="EE48" s="238">
        <f t="shared" si="77"/>
        <v>0</v>
      </c>
      <c r="EF48" s="255" t="str">
        <f t="shared" si="78"/>
        <v/>
      </c>
      <c r="EG48" s="257" t="str">
        <f t="shared" si="79"/>
        <v/>
      </c>
      <c r="EH48" s="257" t="str">
        <f t="shared" si="80"/>
        <v/>
      </c>
      <c r="EI48" s="257" t="str">
        <f t="shared" si="81"/>
        <v/>
      </c>
      <c r="EJ48" s="257" t="str">
        <f t="shared" si="82"/>
        <v/>
      </c>
      <c r="EK48" s="257" t="str">
        <f t="shared" si="83"/>
        <v/>
      </c>
      <c r="EL48" s="257" t="str">
        <f t="shared" si="84"/>
        <v/>
      </c>
      <c r="EM48" s="257" t="str">
        <f t="shared" si="85"/>
        <v/>
      </c>
      <c r="EN48" s="257" t="str">
        <f t="shared" si="86"/>
        <v/>
      </c>
      <c r="EO48" s="257" t="str">
        <f t="shared" si="87"/>
        <v/>
      </c>
      <c r="EP48" s="257" t="str">
        <f t="shared" si="88"/>
        <v/>
      </c>
      <c r="EQ48" s="257" t="str">
        <f t="shared" si="89"/>
        <v/>
      </c>
      <c r="ER48" s="257" t="str">
        <f t="shared" si="90"/>
        <v/>
      </c>
      <c r="ES48" s="262">
        <f t="shared" si="102"/>
        <v>0</v>
      </c>
      <c r="ET48" s="307">
        <f t="shared" si="91"/>
        <v>0</v>
      </c>
    </row>
    <row r="49" spans="1:154" s="89" customFormat="1" ht="30" customHeight="1">
      <c r="A49" s="272">
        <f>IF($B49="","",SUBTOTAL(3,$B$11:B49))</f>
        <v>39</v>
      </c>
      <c r="B49" s="457" t="s">
        <v>1600</v>
      </c>
      <c r="C49" s="76" t="str">
        <f>IF($B49="","",VLOOKUP($B49,'DS LOP HKI'!$B$2:$D$951,2,0))</f>
        <v>Trịnh Ngọc</v>
      </c>
      <c r="D49" s="77" t="str">
        <f>IF($B49="","",VLOOKUP($B49,'DS LOP HKI'!$B$2:$D$951,3,0))</f>
        <v>Sơn</v>
      </c>
      <c r="E49" s="78"/>
      <c r="F49" s="79"/>
      <c r="G49" s="80"/>
      <c r="H49" s="81">
        <f>IF(OR($H$6="",$H$7=""),"",IF($B49="","",IF(ISNA(VLOOKUP($B49,'LT01'!$B$11:$M$80,12,FALSE)),"",IF(VLOOKUP($B49,'LT01'!$B$11:$M$80,12,FALSE)="","",VLOOKUP($B49,'LT01'!$B$11:$M$80,12,FALSE)))))</f>
        <v>0</v>
      </c>
      <c r="I49" s="82">
        <f>IF(OR($H$6="",$H$7=""),"",IF($B49="","",IF(ISNA(VLOOKUP($B49,'LT01'!$B$11:$N$80,13,FALSE)),"",VLOOKUP($B49,'LT01'!$B$11:$N$80,13,FALSE))))</f>
        <v>0</v>
      </c>
      <c r="J49" s="83"/>
      <c r="K49" s="84" t="str">
        <f>IF(OR($H$6="",$H$7=""),"",IF($B49="","",IF(ISNA(VLOOKUP($B49,'LT01'!$B$11:$Q$80,16,FALSE)),"",IF(VLOOKUP($B49,'LT01'!$B$11:$Q$80,16,FALSE)="","",VLOOKUP($B49,'LT01'!$B$11:$Q$80,16,FALSE)))))</f>
        <v/>
      </c>
      <c r="L49" s="85">
        <f>IF(OR($L$6="",$L$7=""),"",IF($B49="","",IF(ISNA(VLOOKUP($B49,'LT02'!$B$11:$M$80,12,FALSE)),"",IF(VLOOKUP($B49,'LT02'!$B$11:$M$80,12,FALSE)="","",VLOOKUP($B49,'LT02'!$B$11:$M$80,12,FALSE)))))</f>
        <v>0</v>
      </c>
      <c r="M49" s="82">
        <f>IF(OR($L$6="",$L$7=""),"",IF($B49="","",IF(ISNA(VLOOKUP($B49,'LT02'!$B$11:$N$80,13,FALSE)),"",VLOOKUP($B49,'LT02'!$B$11:$N$80,13,FALSE))))</f>
        <v>0</v>
      </c>
      <c r="N49" s="83"/>
      <c r="O49" s="84" t="str">
        <f>IF(OR($L$6="",$L$7=""),"",IF($B49="","",IF(ISNA(VLOOKUP($B49,'LT02'!$B$11:$Q$80,16,FALSE)),"",VLOOKUP($B49,'LT02'!$B$11:$Q$80,16,FALSE))))</f>
        <v/>
      </c>
      <c r="P49" s="85">
        <f>IF(OR($P$6="",$P$7=""),"",IF($B49="","",IF(ISNA(VLOOKUP($B49,'LT03'!$B$11:$M$80,12,FALSE)),"",IF(VLOOKUP($B49,'LT03'!$B$11:$M$80,12,FALSE)="","",VLOOKUP($B49,'LT03'!$B$11:$M$80,12,FALSE)))))</f>
        <v>0</v>
      </c>
      <c r="Q49" s="82">
        <f>IF(OR($P$6="",$P$7=""),"",IF($B49="","",IF(ISNA(VLOOKUP($B49,'LT03'!$B$11:$N$80,13,FALSE)),"",VLOOKUP($B49,'LT03'!$B$11:$N$80,13,FALSE))))</f>
        <v>0</v>
      </c>
      <c r="R49" s="83"/>
      <c r="S49" s="84" t="str">
        <f>IF(OR($P$6="",$P$7=""),"",IF($B49="","",IF(ISNA(VLOOKUP($B49,'LT03'!$B$11:$Q$80,16,FALSE)),"",VLOOKUP($B49,'LT03'!$B$11:$Q$80,16,FALSE))))</f>
        <v/>
      </c>
      <c r="T49" s="85">
        <f>IF(OR($T$6="",$T$7=""),"",IF($B49="","",IF(ISNA(VLOOKUP($B49,'LT04'!$B$11:$M$80,12,FALSE)),"",IF(VLOOKUP($B49,'LT04'!$B$11:$M$80,12,FALSE)="","",VLOOKUP($B49,'LT04'!$B$11:$M$80,12,FALSE)))))</f>
        <v>0</v>
      </c>
      <c r="U49" s="82">
        <f>IF(OR($T$6="",$T$7=""),"",IF($B49="","",IF(ISNA(VLOOKUP($B49,'LT04'!$B$11:$N$80,13,FALSE)),"",VLOOKUP($B49,'LT04'!$B$11:$N$80,13,FALSE))))</f>
        <v>0</v>
      </c>
      <c r="V49" s="83"/>
      <c r="W49" s="84" t="str">
        <f>IF(OR($T$6="",$T$7=""),"",IF($B49="","",IF(ISNA(VLOOKUP($B49,'LT04'!$B$11:$Q$80,16,FALSE)),"",VLOOKUP($B49,'LT04'!$B$11:$Q$80,16,FALSE))))</f>
        <v/>
      </c>
      <c r="X49" s="85">
        <f>IF(OR($X$6="",$X$7=""),"",IF($B49="","",IF(ISNA(VLOOKUP($B49,'LT05'!$B$11:$M$80,12,FALSE)),"",IF(VLOOKUP($B49,'LT05'!$B$11:$M$80,12,FALSE)="","",VLOOKUP($B49,'LT05'!$B$11:$M$80,12,FALSE)))))</f>
        <v>0</v>
      </c>
      <c r="Y49" s="82">
        <f>IF(OR($X$6="",$X$7=""),"",IF($B49="","",IF(ISNA(VLOOKUP($B49,'LT05'!$B$11:$N$80,13,FALSE)),"",VLOOKUP($B49,'LT05'!$B$11:$N$80,13,FALSE))))</f>
        <v>0</v>
      </c>
      <c r="Z49" s="83"/>
      <c r="AA49" s="84" t="str">
        <f>IF(OR($X$6="",$X$7=""),"",IF($B49="","",IF(ISNA(VLOOKUP($B49,'LT05'!$B$11:$Q$80,16,FALSE)),"",VLOOKUP($B49,'LT05'!$B$11:$Q$80,16,FALSE))))</f>
        <v/>
      </c>
      <c r="AB49" s="85" t="str">
        <f>IF(OR($AB$6="",$AB$7=""),"",IF($B49="","",IF(ISNA(VLOOKUP($B49,'LT06'!$B$11:$M$80,12,FALSE)),"",IF(VLOOKUP($B49,'LT06'!$B$11:$M$80,12,FALSE)="","",VLOOKUP($B49,'LT06'!$B$11:$M$80,12,FALSE)))))</f>
        <v/>
      </c>
      <c r="AC49" s="82" t="str">
        <f>IF(OR($AB$6="",$AB$7=""),"",IF($B49="","",IF(ISNA(VLOOKUP($B49,'LT06'!$B$11:$N$80,13,FALSE)),"",VLOOKUP($B49,'LT06'!$B$11:$N$80,13,FALSE))))</f>
        <v/>
      </c>
      <c r="AD49" s="83"/>
      <c r="AE49" s="84" t="str">
        <f>IF(OR($AB$6="",$AB$7=""),"",IF($B49="","",IF(ISNA(VLOOKUP($B49,'LT06'!$B$11:$Q$80,16,FALSE)),"",VLOOKUP($B49,'LT06'!$B$11:$Q$80,16,FALSE))))</f>
        <v/>
      </c>
      <c r="AF49" s="85" t="str">
        <f>IF(OR($AF$6="",$AF$7=""),"",IF($B49="","",IF(ISNA(VLOOKUP($B49,'LT07'!$B$11:$M$80,12,FALSE)),"",IF(VLOOKUP($B49,'LT07'!$B$11:$M$80,12,FALSE)="","",VLOOKUP($B49,'LT07'!$B$11:$M$80,12,FALSE)))))</f>
        <v/>
      </c>
      <c r="AG49" s="82" t="str">
        <f>IF(OR($AF$6="",$AF$7=""),"",IF($B49="","",IF(ISNA(VLOOKUP($B49,'LT07'!$B$11:$N$80,13,FALSE)),"",VLOOKUP($B49,'LT07'!$B$11:$N$80,13,FALSE))))</f>
        <v/>
      </c>
      <c r="AH49" s="83"/>
      <c r="AI49" s="84" t="str">
        <f>IF(OR($AF$6="",$AF$7=""),"",IF($B49="","",IF(ISNA(VLOOKUP($B49,'LT07'!$B$11:$Q$80,16,FALSE)),"",VLOOKUP($B49,'LT07'!$B$11:$Q$80,16,FALSE))))</f>
        <v/>
      </c>
      <c r="AJ49" s="304"/>
      <c r="AK49" s="82" t="str">
        <f>IF(OR($AJ$6="",$AJ$7=""),"",IF($B49="","",IF(ISNA(VLOOKUP($B49,'DO AN'!$B$11:$L$80,11,FALSE)),"",IF(VLOOKUP($B49,'DO AN'!$B$11:$L$80,11,FALSE)="","",VLOOKUP($B49,'DO AN'!$B$11:$L$80,11,FALSE)))))</f>
        <v/>
      </c>
      <c r="AL49" s="83"/>
      <c r="AM49" s="451"/>
      <c r="AN49" s="83"/>
      <c r="AO49" s="82" t="str">
        <f>IF(OR($AN$6="",$AN$7=""),"",IF($B49="","",IF(ISNA(VLOOKUP($B49,'DO AN 2'!$B$11:$L$80,11,FALSE)),"",IF(VLOOKUP($B49,'DO AN 2'!$B$11:$L$80,11,FALSE)="","",VLOOKUP($B49,'DO AN 2'!$B$11:$L$80,11,FALSE)))))</f>
        <v/>
      </c>
      <c r="AP49" s="83"/>
      <c r="AQ49" s="83"/>
      <c r="AR49" s="454"/>
      <c r="AS49" s="82">
        <f>IF(OR($AR$6="",$AR$7=""),"",IF($B49="","",IF(ISNA(VLOOKUP($B49,'TH01'!$B$11:$O$80,14,FALSE)),"",VLOOKUP($B49,'TH01'!$B$11:$O$80,14,FALSE))))</f>
        <v>0</v>
      </c>
      <c r="AT49" s="83"/>
      <c r="AU49" s="303"/>
      <c r="AV49" s="304"/>
      <c r="AW49" s="82">
        <f>IF(OR($AV$6="",$AV$7=""),"",IF($B49="","",IF(ISNA(VLOOKUP($B49,'TH02'!$B$11:$O$80,14,FALSE)),"",VLOOKUP($B49,'TH02'!$B$11:$O$80,14,FALSE))))</f>
        <v>0</v>
      </c>
      <c r="AX49" s="83"/>
      <c r="AY49" s="303"/>
      <c r="AZ49" s="304"/>
      <c r="BA49" s="82">
        <f>IF(OR($AZ$6="",$AZ$7=""),"",IF($B49="","",IF(ISNA(VLOOKUP($B49,'TH03'!$B$11:$O$80,14,FALSE)),"",VLOOKUP($B49,'TH03'!$B$11:$O$80,14,FALSE))))</f>
        <v>0</v>
      </c>
      <c r="BB49" s="83"/>
      <c r="BC49" s="303"/>
      <c r="BD49" s="86">
        <f t="shared" si="11"/>
        <v>0</v>
      </c>
      <c r="BE49" s="86" t="str">
        <f t="shared" si="12"/>
        <v/>
      </c>
      <c r="BF49" s="87">
        <v>0</v>
      </c>
      <c r="BG49" s="88" t="str">
        <f t="shared" si="92"/>
        <v>Kém</v>
      </c>
      <c r="BH49" s="88" t="str">
        <f t="shared" si="93"/>
        <v/>
      </c>
      <c r="BI49" s="87"/>
      <c r="BJ49" s="86" t="str">
        <f t="shared" si="94"/>
        <v>Cảnh Báo</v>
      </c>
      <c r="BK49" s="265">
        <f t="shared" si="95"/>
        <v>0</v>
      </c>
      <c r="BL49" s="88">
        <f t="shared" si="96"/>
        <v>18</v>
      </c>
      <c r="BM49" s="88">
        <f t="shared" si="97"/>
        <v>0</v>
      </c>
      <c r="BN49" s="88">
        <f t="shared" si="98"/>
        <v>18</v>
      </c>
      <c r="BO49" s="86">
        <f t="shared" si="13"/>
        <v>0</v>
      </c>
      <c r="BP49" s="86" t="str">
        <f t="shared" si="99"/>
        <v>Yếu</v>
      </c>
      <c r="BQ49" s="86">
        <f t="shared" si="14"/>
        <v>0</v>
      </c>
      <c r="BR49" s="86" t="str">
        <f t="shared" si="100"/>
        <v>Yếu</v>
      </c>
      <c r="BS49" s="87" t="s">
        <v>2707</v>
      </c>
      <c r="BT49" s="276">
        <f t="shared" si="15"/>
        <v>8</v>
      </c>
      <c r="BU49" s="238">
        <f t="shared" si="16"/>
        <v>0</v>
      </c>
      <c r="BV49" s="238">
        <f t="shared" si="17"/>
        <v>0</v>
      </c>
      <c r="BW49" s="238">
        <f t="shared" si="18"/>
        <v>0</v>
      </c>
      <c r="BX49" s="238">
        <f t="shared" si="19"/>
        <v>0</v>
      </c>
      <c r="BY49" s="238">
        <f t="shared" si="20"/>
        <v>0</v>
      </c>
      <c r="BZ49" s="238" t="str">
        <f t="shared" si="21"/>
        <v/>
      </c>
      <c r="CA49" s="238" t="str">
        <f t="shared" si="22"/>
        <v/>
      </c>
      <c r="CB49" s="238" t="str">
        <f t="shared" si="23"/>
        <v/>
      </c>
      <c r="CC49" s="238" t="str">
        <f t="shared" si="24"/>
        <v/>
      </c>
      <c r="CD49" s="238">
        <f t="shared" si="25"/>
        <v>0</v>
      </c>
      <c r="CE49" s="238">
        <f t="shared" si="26"/>
        <v>0</v>
      </c>
      <c r="CF49" s="238">
        <f t="shared" si="27"/>
        <v>0</v>
      </c>
      <c r="CG49" s="239">
        <f t="shared" si="28"/>
        <v>8</v>
      </c>
      <c r="CH49" s="238">
        <f t="shared" si="29"/>
        <v>0</v>
      </c>
      <c r="CI49" s="238">
        <f t="shared" si="30"/>
        <v>0</v>
      </c>
      <c r="CJ49" s="238">
        <f t="shared" si="31"/>
        <v>0</v>
      </c>
      <c r="CK49" s="238">
        <f t="shared" si="32"/>
        <v>0</v>
      </c>
      <c r="CL49" s="238">
        <f t="shared" si="33"/>
        <v>0</v>
      </c>
      <c r="CM49" s="238" t="str">
        <f t="shared" si="34"/>
        <v/>
      </c>
      <c r="CN49" s="238" t="str">
        <f t="shared" si="35"/>
        <v/>
      </c>
      <c r="CO49" s="238" t="str">
        <f t="shared" si="36"/>
        <v/>
      </c>
      <c r="CP49" s="238" t="str">
        <f t="shared" si="37"/>
        <v/>
      </c>
      <c r="CQ49" s="238">
        <f t="shared" si="38"/>
        <v>0</v>
      </c>
      <c r="CR49" s="238">
        <f t="shared" si="39"/>
        <v>0</v>
      </c>
      <c r="CS49" s="238">
        <f t="shared" si="40"/>
        <v>0</v>
      </c>
      <c r="CT49" s="240">
        <f t="shared" si="41"/>
        <v>0</v>
      </c>
      <c r="CU49" s="241" t="str">
        <f t="shared" si="42"/>
        <v/>
      </c>
      <c r="CV49" s="241" t="str">
        <f t="shared" si="43"/>
        <v/>
      </c>
      <c r="CW49" s="241" t="str">
        <f t="shared" si="44"/>
        <v/>
      </c>
      <c r="CX49" s="241" t="str">
        <f t="shared" si="45"/>
        <v/>
      </c>
      <c r="CY49" s="241" t="str">
        <f t="shared" si="46"/>
        <v/>
      </c>
      <c r="CZ49" s="241" t="str">
        <f t="shared" si="47"/>
        <v/>
      </c>
      <c r="DA49" s="241" t="str">
        <f t="shared" si="48"/>
        <v/>
      </c>
      <c r="DB49" s="241" t="str">
        <f t="shared" si="49"/>
        <v/>
      </c>
      <c r="DC49" s="241" t="str">
        <f t="shared" si="50"/>
        <v/>
      </c>
      <c r="DD49" s="241" t="str">
        <f t="shared" si="51"/>
        <v/>
      </c>
      <c r="DE49" s="241" t="str">
        <f t="shared" si="52"/>
        <v/>
      </c>
      <c r="DF49" s="241" t="str">
        <f t="shared" si="53"/>
        <v/>
      </c>
      <c r="DG49" s="242">
        <f t="shared" si="101"/>
        <v>0</v>
      </c>
      <c r="DH49" s="82" t="str">
        <f t="shared" si="54"/>
        <v/>
      </c>
      <c r="DI49" s="82" t="str">
        <f t="shared" si="55"/>
        <v/>
      </c>
      <c r="DJ49" s="82" t="str">
        <f t="shared" si="56"/>
        <v/>
      </c>
      <c r="DK49" s="82" t="str">
        <f t="shared" si="57"/>
        <v/>
      </c>
      <c r="DL49" s="82" t="str">
        <f t="shared" si="58"/>
        <v/>
      </c>
      <c r="DM49" s="82" t="str">
        <f t="shared" si="59"/>
        <v/>
      </c>
      <c r="DN49" s="82" t="str">
        <f t="shared" si="60"/>
        <v/>
      </c>
      <c r="DO49" s="82" t="str">
        <f t="shared" si="61"/>
        <v/>
      </c>
      <c r="DP49" s="82" t="str">
        <f t="shared" si="62"/>
        <v/>
      </c>
      <c r="DQ49" s="82" t="str">
        <f t="shared" si="63"/>
        <v/>
      </c>
      <c r="DR49" s="82" t="str">
        <f t="shared" si="64"/>
        <v/>
      </c>
      <c r="DS49" s="253" t="str">
        <f t="shared" si="65"/>
        <v/>
      </c>
      <c r="DT49" s="250">
        <f t="shared" si="66"/>
        <v>0</v>
      </c>
      <c r="DU49" s="238">
        <f t="shared" si="67"/>
        <v>0</v>
      </c>
      <c r="DV49" s="238">
        <f t="shared" si="68"/>
        <v>0</v>
      </c>
      <c r="DW49" s="238">
        <f t="shared" si="69"/>
        <v>0</v>
      </c>
      <c r="DX49" s="238">
        <f t="shared" si="70"/>
        <v>0</v>
      </c>
      <c r="DY49" s="238" t="str">
        <f t="shared" si="71"/>
        <v/>
      </c>
      <c r="DZ49" s="238" t="str">
        <f t="shared" si="72"/>
        <v/>
      </c>
      <c r="EA49" s="238" t="str">
        <f t="shared" si="73"/>
        <v/>
      </c>
      <c r="EB49" s="238" t="str">
        <f t="shared" si="74"/>
        <v/>
      </c>
      <c r="EC49" s="238">
        <f t="shared" si="75"/>
        <v>0</v>
      </c>
      <c r="ED49" s="238">
        <f t="shared" si="76"/>
        <v>0</v>
      </c>
      <c r="EE49" s="238">
        <f t="shared" si="77"/>
        <v>0</v>
      </c>
      <c r="EF49" s="255" t="str">
        <f t="shared" si="78"/>
        <v/>
      </c>
      <c r="EG49" s="257" t="str">
        <f t="shared" si="79"/>
        <v/>
      </c>
      <c r="EH49" s="257" t="str">
        <f t="shared" si="80"/>
        <v/>
      </c>
      <c r="EI49" s="257" t="str">
        <f t="shared" si="81"/>
        <v/>
      </c>
      <c r="EJ49" s="257" t="str">
        <f t="shared" si="82"/>
        <v/>
      </c>
      <c r="EK49" s="257" t="str">
        <f t="shared" si="83"/>
        <v/>
      </c>
      <c r="EL49" s="257" t="str">
        <f t="shared" si="84"/>
        <v/>
      </c>
      <c r="EM49" s="257" t="str">
        <f t="shared" si="85"/>
        <v/>
      </c>
      <c r="EN49" s="257" t="str">
        <f t="shared" si="86"/>
        <v/>
      </c>
      <c r="EO49" s="257" t="str">
        <f t="shared" si="87"/>
        <v/>
      </c>
      <c r="EP49" s="257" t="str">
        <f t="shared" si="88"/>
        <v/>
      </c>
      <c r="EQ49" s="257" t="str">
        <f t="shared" si="89"/>
        <v/>
      </c>
      <c r="ER49" s="257" t="str">
        <f t="shared" si="90"/>
        <v/>
      </c>
      <c r="ES49" s="262">
        <f t="shared" si="102"/>
        <v>0</v>
      </c>
      <c r="ET49" s="307">
        <f t="shared" si="91"/>
        <v>0</v>
      </c>
    </row>
    <row r="50" spans="1:154" s="89" customFormat="1" ht="30" customHeight="1">
      <c r="A50" s="272">
        <f>IF($B50="","",SUBTOTAL(3,$B$11:B50))</f>
        <v>40</v>
      </c>
      <c r="B50" s="457" t="s">
        <v>1602</v>
      </c>
      <c r="C50" s="76" t="str">
        <f>IF($B50="","",VLOOKUP($B50,'DS LOP HKI'!$B$2:$D$951,2,0))</f>
        <v>Lê Minh</v>
      </c>
      <c r="D50" s="77" t="str">
        <f>IF($B50="","",VLOOKUP($B50,'DS LOP HKI'!$B$2:$D$951,3,0))</f>
        <v>Tâm</v>
      </c>
      <c r="E50" s="78"/>
      <c r="F50" s="79"/>
      <c r="G50" s="80">
        <v>5</v>
      </c>
      <c r="H50" s="81">
        <f>IF(OR($H$6="",$H$7=""),"",IF($B50="","",IF(ISNA(VLOOKUP($B50,'LT01'!$B$11:$M$80,12,FALSE)),"",IF(VLOOKUP($B50,'LT01'!$B$11:$M$80,12,FALSE)="","",VLOOKUP($B50,'LT01'!$B$11:$M$80,12,FALSE)))))</f>
        <v>6</v>
      </c>
      <c r="I50" s="82">
        <f>IF(OR($H$6="",$H$7=""),"",IF($B50="","",IF(ISNA(VLOOKUP($B50,'LT01'!$B$11:$N$80,13,FALSE)),"",VLOOKUP($B50,'LT01'!$B$11:$N$80,13,FALSE))))</f>
        <v>5.0999999999999996</v>
      </c>
      <c r="J50" s="83"/>
      <c r="K50" s="84" t="str">
        <f>IF(OR($H$6="",$H$7=""),"",IF($B50="","",IF(ISNA(VLOOKUP($B50,'LT01'!$B$11:$Q$80,16,FALSE)),"",IF(VLOOKUP($B50,'LT01'!$B$11:$Q$80,16,FALSE)="","",VLOOKUP($B50,'LT01'!$B$11:$Q$80,16,FALSE)))))</f>
        <v/>
      </c>
      <c r="L50" s="85">
        <f>IF(OR($L$6="",$L$7=""),"",IF($B50="","",IF(ISNA(VLOOKUP($B50,'LT02'!$B$11:$M$80,12,FALSE)),"",IF(VLOOKUP($B50,'LT02'!$B$11:$M$80,12,FALSE)="","",VLOOKUP($B50,'LT02'!$B$11:$M$80,12,FALSE)))))</f>
        <v>4.5</v>
      </c>
      <c r="M50" s="82">
        <f>IF(OR($L$6="",$L$7=""),"",IF($B50="","",IF(ISNA(VLOOKUP($B50,'LT02'!$B$11:$N$80,13,FALSE)),"",VLOOKUP($B50,'LT02'!$B$11:$N$80,13,FALSE))))</f>
        <v>4.9000000000000004</v>
      </c>
      <c r="N50" s="83"/>
      <c r="O50" s="84" t="str">
        <f>IF(OR($L$6="",$L$7=""),"",IF($B50="","",IF(ISNA(VLOOKUP($B50,'LT02'!$B$11:$Q$80,16,FALSE)),"",VLOOKUP($B50,'LT02'!$B$11:$Q$80,16,FALSE))))</f>
        <v/>
      </c>
      <c r="P50" s="85">
        <f>IF(OR($P$6="",$P$7=""),"",IF($B50="","",IF(ISNA(VLOOKUP($B50,'LT03'!$B$11:$M$80,12,FALSE)),"",IF(VLOOKUP($B50,'LT03'!$B$11:$M$80,12,FALSE)="","",VLOOKUP($B50,'LT03'!$B$11:$M$80,12,FALSE)))))</f>
        <v>5.3</v>
      </c>
      <c r="Q50" s="82">
        <f>IF(OR($P$6="",$P$7=""),"",IF($B50="","",IF(ISNA(VLOOKUP($B50,'LT03'!$B$11:$N$80,13,FALSE)),"",VLOOKUP($B50,'LT03'!$B$11:$N$80,13,FALSE))))</f>
        <v>5.2</v>
      </c>
      <c r="R50" s="83"/>
      <c r="S50" s="84" t="str">
        <f>IF(OR($P$6="",$P$7=""),"",IF($B50="","",IF(ISNA(VLOOKUP($B50,'LT03'!$B$11:$Q$80,16,FALSE)),"",VLOOKUP($B50,'LT03'!$B$11:$Q$80,16,FALSE))))</f>
        <v/>
      </c>
      <c r="T50" s="85">
        <f>IF(OR($T$6="",$T$7=""),"",IF($B50="","",IF(ISNA(VLOOKUP($B50,'LT04'!$B$11:$M$80,12,FALSE)),"",IF(VLOOKUP($B50,'LT04'!$B$11:$M$80,12,FALSE)="","",VLOOKUP($B50,'LT04'!$B$11:$M$80,12,FALSE)))))</f>
        <v>5.5</v>
      </c>
      <c r="U50" s="82">
        <f>IF(OR($T$6="",$T$7=""),"",IF($B50="","",IF(ISNA(VLOOKUP($B50,'LT04'!$B$11:$N$80,13,FALSE)),"",VLOOKUP($B50,'LT04'!$B$11:$N$80,13,FALSE))))</f>
        <v>6.7</v>
      </c>
      <c r="V50" s="83"/>
      <c r="W50" s="84" t="str">
        <f>IF(OR($T$6="",$T$7=""),"",IF($B50="","",IF(ISNA(VLOOKUP($B50,'LT04'!$B$11:$Q$80,16,FALSE)),"",VLOOKUP($B50,'LT04'!$B$11:$Q$80,16,FALSE))))</f>
        <v/>
      </c>
      <c r="X50" s="85">
        <f>IF(OR($X$6="",$X$7=""),"",IF($B50="","",IF(ISNA(VLOOKUP($B50,'LT05'!$B$11:$M$80,12,FALSE)),"",IF(VLOOKUP($B50,'LT05'!$B$11:$M$80,12,FALSE)="","",VLOOKUP($B50,'LT05'!$B$11:$M$80,12,FALSE)))))</f>
        <v>2</v>
      </c>
      <c r="Y50" s="82">
        <f>IF(OR($X$6="",$X$7=""),"",IF($B50="","",IF(ISNA(VLOOKUP($B50,'LT05'!$B$11:$N$80,13,FALSE)),"",VLOOKUP($B50,'LT05'!$B$11:$N$80,13,FALSE))))</f>
        <v>2.6</v>
      </c>
      <c r="Z50" s="83"/>
      <c r="AA50" s="84" t="str">
        <f>IF(OR($X$6="",$X$7=""),"",IF($B50="","",IF(ISNA(VLOOKUP($B50,'LT05'!$B$11:$Q$80,16,FALSE)),"",VLOOKUP($B50,'LT05'!$B$11:$Q$80,16,FALSE))))</f>
        <v/>
      </c>
      <c r="AB50" s="85" t="str">
        <f>IF(OR($AB$6="",$AB$7=""),"",IF($B50="","",IF(ISNA(VLOOKUP($B50,'LT06'!$B$11:$M$80,12,FALSE)),"",IF(VLOOKUP($B50,'LT06'!$B$11:$M$80,12,FALSE)="","",VLOOKUP($B50,'LT06'!$B$11:$M$80,12,FALSE)))))</f>
        <v/>
      </c>
      <c r="AC50" s="82" t="str">
        <f>IF(OR($AB$6="",$AB$7=""),"",IF($B50="","",IF(ISNA(VLOOKUP($B50,'LT06'!$B$11:$N$80,13,FALSE)),"",VLOOKUP($B50,'LT06'!$B$11:$N$80,13,FALSE))))</f>
        <v/>
      </c>
      <c r="AD50" s="83"/>
      <c r="AE50" s="84" t="str">
        <f>IF(OR($AB$6="",$AB$7=""),"",IF($B50="","",IF(ISNA(VLOOKUP($B50,'LT06'!$B$11:$Q$80,16,FALSE)),"",VLOOKUP($B50,'LT06'!$B$11:$Q$80,16,FALSE))))</f>
        <v/>
      </c>
      <c r="AF50" s="85" t="str">
        <f>IF(OR($AF$6="",$AF$7=""),"",IF($B50="","",IF(ISNA(VLOOKUP($B50,'LT07'!$B$11:$M$80,12,FALSE)),"",IF(VLOOKUP($B50,'LT07'!$B$11:$M$80,12,FALSE)="","",VLOOKUP($B50,'LT07'!$B$11:$M$80,12,FALSE)))))</f>
        <v/>
      </c>
      <c r="AG50" s="82" t="str">
        <f>IF(OR($AF$6="",$AF$7=""),"",IF($B50="","",IF(ISNA(VLOOKUP($B50,'LT07'!$B$11:$N$80,13,FALSE)),"",VLOOKUP($B50,'LT07'!$B$11:$N$80,13,FALSE))))</f>
        <v/>
      </c>
      <c r="AH50" s="83"/>
      <c r="AI50" s="84" t="str">
        <f>IF(OR($AF$6="",$AF$7=""),"",IF($B50="","",IF(ISNA(VLOOKUP($B50,'LT07'!$B$11:$Q$80,16,FALSE)),"",VLOOKUP($B50,'LT07'!$B$11:$Q$80,16,FALSE))))</f>
        <v/>
      </c>
      <c r="AJ50" s="304"/>
      <c r="AK50" s="82" t="str">
        <f>IF(OR($AJ$6="",$AJ$7=""),"",IF($B50="","",IF(ISNA(VLOOKUP($B50,'DO AN'!$B$11:$L$80,11,FALSE)),"",IF(VLOOKUP($B50,'DO AN'!$B$11:$L$80,11,FALSE)="","",VLOOKUP($B50,'DO AN'!$B$11:$L$80,11,FALSE)))))</f>
        <v/>
      </c>
      <c r="AL50" s="83"/>
      <c r="AM50" s="451"/>
      <c r="AN50" s="83"/>
      <c r="AO50" s="82" t="str">
        <f>IF(OR($AN$6="",$AN$7=""),"",IF($B50="","",IF(ISNA(VLOOKUP($B50,'DO AN 2'!$B$11:$L$80,11,FALSE)),"",IF(VLOOKUP($B50,'DO AN 2'!$B$11:$L$80,11,FALSE)="","",VLOOKUP($B50,'DO AN 2'!$B$11:$L$80,11,FALSE)))))</f>
        <v/>
      </c>
      <c r="AP50" s="83"/>
      <c r="AQ50" s="83"/>
      <c r="AR50" s="454"/>
      <c r="AS50" s="82">
        <f>IF(OR($AR$6="",$AR$7=""),"",IF($B50="","",IF(ISNA(VLOOKUP($B50,'TH01'!$B$11:$O$80,14,FALSE)),"",VLOOKUP($B50,'TH01'!$B$11:$O$80,14,FALSE))))</f>
        <v>5</v>
      </c>
      <c r="AT50" s="83"/>
      <c r="AU50" s="303"/>
      <c r="AV50" s="304"/>
      <c r="AW50" s="82">
        <f>IF(OR($AV$6="",$AV$7=""),"",IF($B50="","",IF(ISNA(VLOOKUP($B50,'TH02'!$B$11:$O$80,14,FALSE)),"",VLOOKUP($B50,'TH02'!$B$11:$O$80,14,FALSE))))</f>
        <v>7</v>
      </c>
      <c r="AX50" s="83"/>
      <c r="AY50" s="303"/>
      <c r="AZ50" s="304"/>
      <c r="BA50" s="82">
        <f>IF(OR($AZ$6="",$AZ$7=""),"",IF($B50="","",IF(ISNA(VLOOKUP($B50,'TH03'!$B$11:$O$80,14,FALSE)),"",VLOOKUP($B50,'TH03'!$B$11:$O$80,14,FALSE))))</f>
        <v>6.8</v>
      </c>
      <c r="BB50" s="83"/>
      <c r="BC50" s="303"/>
      <c r="BD50" s="86">
        <f t="shared" si="11"/>
        <v>5.24</v>
      </c>
      <c r="BE50" s="86" t="str">
        <f t="shared" si="12"/>
        <v/>
      </c>
      <c r="BF50" s="87">
        <v>62</v>
      </c>
      <c r="BG50" s="88" t="str">
        <f t="shared" si="92"/>
        <v>TB Yếu</v>
      </c>
      <c r="BH50" s="88" t="str">
        <f t="shared" si="93"/>
        <v/>
      </c>
      <c r="BI50" s="87"/>
      <c r="BJ50" s="86" t="str">
        <f t="shared" si="94"/>
        <v/>
      </c>
      <c r="BK50" s="265">
        <f t="shared" si="95"/>
        <v>15</v>
      </c>
      <c r="BL50" s="88">
        <f t="shared" si="96"/>
        <v>3</v>
      </c>
      <c r="BM50" s="88">
        <f t="shared" si="97"/>
        <v>15</v>
      </c>
      <c r="BN50" s="88">
        <f t="shared" si="98"/>
        <v>3</v>
      </c>
      <c r="BO50" s="86">
        <f t="shared" si="13"/>
        <v>5.77</v>
      </c>
      <c r="BP50" s="86" t="str">
        <f t="shared" si="99"/>
        <v>BT</v>
      </c>
      <c r="BQ50" s="86">
        <f t="shared" si="14"/>
        <v>5.77</v>
      </c>
      <c r="BR50" s="86" t="str">
        <f t="shared" si="100"/>
        <v>BT</v>
      </c>
      <c r="BS50" s="87"/>
      <c r="BT50" s="276">
        <f t="shared" si="15"/>
        <v>2</v>
      </c>
      <c r="BU50" s="238">
        <f t="shared" si="16"/>
        <v>6</v>
      </c>
      <c r="BV50" s="238">
        <f t="shared" si="17"/>
        <v>4.5</v>
      </c>
      <c r="BW50" s="238">
        <f t="shared" si="18"/>
        <v>5.3</v>
      </c>
      <c r="BX50" s="238">
        <f t="shared" si="19"/>
        <v>5.5</v>
      </c>
      <c r="BY50" s="238">
        <f t="shared" si="20"/>
        <v>2</v>
      </c>
      <c r="BZ50" s="238" t="str">
        <f t="shared" si="21"/>
        <v/>
      </c>
      <c r="CA50" s="238" t="str">
        <f t="shared" si="22"/>
        <v/>
      </c>
      <c r="CB50" s="238" t="str">
        <f t="shared" si="23"/>
        <v/>
      </c>
      <c r="CC50" s="238" t="str">
        <f t="shared" si="24"/>
        <v/>
      </c>
      <c r="CD50" s="238">
        <f t="shared" si="25"/>
        <v>5</v>
      </c>
      <c r="CE50" s="238">
        <f t="shared" si="26"/>
        <v>7</v>
      </c>
      <c r="CF50" s="238">
        <f t="shared" si="27"/>
        <v>6.8</v>
      </c>
      <c r="CG50" s="239">
        <f t="shared" si="28"/>
        <v>1</v>
      </c>
      <c r="CH50" s="238">
        <f t="shared" si="29"/>
        <v>5.0999999999999996</v>
      </c>
      <c r="CI50" s="238">
        <f t="shared" si="30"/>
        <v>4.9000000000000004</v>
      </c>
      <c r="CJ50" s="238">
        <f t="shared" si="31"/>
        <v>5.2</v>
      </c>
      <c r="CK50" s="238">
        <f t="shared" si="32"/>
        <v>6.7</v>
      </c>
      <c r="CL50" s="238">
        <f t="shared" si="33"/>
        <v>2.6</v>
      </c>
      <c r="CM50" s="238" t="str">
        <f t="shared" si="34"/>
        <v/>
      </c>
      <c r="CN50" s="238" t="str">
        <f t="shared" si="35"/>
        <v/>
      </c>
      <c r="CO50" s="238" t="str">
        <f t="shared" si="36"/>
        <v/>
      </c>
      <c r="CP50" s="238" t="str">
        <f t="shared" si="37"/>
        <v/>
      </c>
      <c r="CQ50" s="238">
        <f t="shared" si="38"/>
        <v>5</v>
      </c>
      <c r="CR50" s="238">
        <f t="shared" si="39"/>
        <v>7</v>
      </c>
      <c r="CS50" s="238">
        <f t="shared" si="40"/>
        <v>6.8</v>
      </c>
      <c r="CT50" s="240">
        <f t="shared" si="41"/>
        <v>5.24</v>
      </c>
      <c r="CU50" s="241">
        <f t="shared" si="42"/>
        <v>5.0999999999999996</v>
      </c>
      <c r="CV50" s="241">
        <f t="shared" si="43"/>
        <v>4.9000000000000004</v>
      </c>
      <c r="CW50" s="241">
        <f t="shared" si="44"/>
        <v>5.2</v>
      </c>
      <c r="CX50" s="241">
        <f t="shared" si="45"/>
        <v>6.7</v>
      </c>
      <c r="CY50" s="241" t="str">
        <f t="shared" si="46"/>
        <v/>
      </c>
      <c r="CZ50" s="241" t="str">
        <f t="shared" si="47"/>
        <v/>
      </c>
      <c r="DA50" s="241" t="str">
        <f t="shared" si="48"/>
        <v/>
      </c>
      <c r="DB50" s="241" t="str">
        <f t="shared" si="49"/>
        <v/>
      </c>
      <c r="DC50" s="241" t="str">
        <f t="shared" si="50"/>
        <v/>
      </c>
      <c r="DD50" s="241">
        <f t="shared" si="51"/>
        <v>5</v>
      </c>
      <c r="DE50" s="241">
        <f t="shared" si="52"/>
        <v>7</v>
      </c>
      <c r="DF50" s="241">
        <f t="shared" si="53"/>
        <v>6.8</v>
      </c>
      <c r="DG50" s="242">
        <f t="shared" si="101"/>
        <v>5.77</v>
      </c>
      <c r="DH50" s="82" t="str">
        <f t="shared" si="54"/>
        <v/>
      </c>
      <c r="DI50" s="82" t="str">
        <f t="shared" si="55"/>
        <v/>
      </c>
      <c r="DJ50" s="82" t="str">
        <f t="shared" si="56"/>
        <v/>
      </c>
      <c r="DK50" s="82" t="str">
        <f t="shared" si="57"/>
        <v/>
      </c>
      <c r="DL50" s="82" t="str">
        <f t="shared" si="58"/>
        <v/>
      </c>
      <c r="DM50" s="82" t="str">
        <f t="shared" si="59"/>
        <v/>
      </c>
      <c r="DN50" s="82" t="str">
        <f t="shared" si="60"/>
        <v/>
      </c>
      <c r="DO50" s="82" t="str">
        <f t="shared" si="61"/>
        <v/>
      </c>
      <c r="DP50" s="82" t="str">
        <f t="shared" si="62"/>
        <v/>
      </c>
      <c r="DQ50" s="82" t="str">
        <f t="shared" si="63"/>
        <v/>
      </c>
      <c r="DR50" s="82" t="str">
        <f t="shared" si="64"/>
        <v/>
      </c>
      <c r="DS50" s="253" t="str">
        <f t="shared" si="65"/>
        <v/>
      </c>
      <c r="DT50" s="250">
        <f t="shared" si="66"/>
        <v>5.0999999999999996</v>
      </c>
      <c r="DU50" s="238">
        <f t="shared" si="67"/>
        <v>4.9000000000000004</v>
      </c>
      <c r="DV50" s="238">
        <f t="shared" si="68"/>
        <v>5.2</v>
      </c>
      <c r="DW50" s="238">
        <f t="shared" si="69"/>
        <v>6.7</v>
      </c>
      <c r="DX50" s="238">
        <f t="shared" si="70"/>
        <v>2.6</v>
      </c>
      <c r="DY50" s="238" t="str">
        <f t="shared" si="71"/>
        <v/>
      </c>
      <c r="DZ50" s="238" t="str">
        <f t="shared" si="72"/>
        <v/>
      </c>
      <c r="EA50" s="238" t="str">
        <f t="shared" si="73"/>
        <v/>
      </c>
      <c r="EB50" s="238" t="str">
        <f t="shared" si="74"/>
        <v/>
      </c>
      <c r="EC50" s="238">
        <f t="shared" si="75"/>
        <v>5</v>
      </c>
      <c r="ED50" s="238">
        <f t="shared" si="76"/>
        <v>7</v>
      </c>
      <c r="EE50" s="238">
        <f t="shared" si="77"/>
        <v>6.8</v>
      </c>
      <c r="EF50" s="255" t="str">
        <f t="shared" si="78"/>
        <v/>
      </c>
      <c r="EG50" s="257">
        <f t="shared" si="79"/>
        <v>5.0999999999999996</v>
      </c>
      <c r="EH50" s="257">
        <f t="shared" si="80"/>
        <v>4.9000000000000004</v>
      </c>
      <c r="EI50" s="257">
        <f t="shared" si="81"/>
        <v>5.2</v>
      </c>
      <c r="EJ50" s="257">
        <f t="shared" si="82"/>
        <v>6.7</v>
      </c>
      <c r="EK50" s="257" t="str">
        <f t="shared" si="83"/>
        <v/>
      </c>
      <c r="EL50" s="257" t="str">
        <f t="shared" si="84"/>
        <v/>
      </c>
      <c r="EM50" s="257" t="str">
        <f t="shared" si="85"/>
        <v/>
      </c>
      <c r="EN50" s="257" t="str">
        <f t="shared" si="86"/>
        <v/>
      </c>
      <c r="EO50" s="257" t="str">
        <f t="shared" si="87"/>
        <v/>
      </c>
      <c r="EP50" s="257">
        <f t="shared" si="88"/>
        <v>5</v>
      </c>
      <c r="EQ50" s="257">
        <f t="shared" si="89"/>
        <v>7</v>
      </c>
      <c r="ER50" s="257">
        <f t="shared" si="90"/>
        <v>6.8</v>
      </c>
      <c r="ES50" s="262">
        <f t="shared" si="102"/>
        <v>5.77</v>
      </c>
      <c r="ET50" s="307">
        <f t="shared" si="91"/>
        <v>5.24</v>
      </c>
    </row>
    <row r="51" spans="1:154" s="89" customFormat="1" ht="30" customHeight="1">
      <c r="A51" s="272">
        <f>IF($B51="","",SUBTOTAL(3,$B$11:B51))</f>
        <v>41</v>
      </c>
      <c r="B51" s="457" t="s">
        <v>1604</v>
      </c>
      <c r="C51" s="76" t="str">
        <f>IF($B51="","",VLOOKUP($B51,'DS LOP HKI'!$B$2:$D$951,2,0))</f>
        <v>Cao Nguyễn Nhật</v>
      </c>
      <c r="D51" s="77" t="str">
        <f>IF($B51="","",VLOOKUP($B51,'DS LOP HKI'!$B$2:$D$951,3,0))</f>
        <v>Tân</v>
      </c>
      <c r="E51" s="78"/>
      <c r="F51" s="79"/>
      <c r="G51" s="80"/>
      <c r="H51" s="81">
        <f>IF(OR($H$6="",$H$7=""),"",IF($B51="","",IF(ISNA(VLOOKUP($B51,'LT01'!$B$11:$M$80,12,FALSE)),"",IF(VLOOKUP($B51,'LT01'!$B$11:$M$80,12,FALSE)="","",VLOOKUP($B51,'LT01'!$B$11:$M$80,12,FALSE)))))</f>
        <v>7</v>
      </c>
      <c r="I51" s="82">
        <f>IF(OR($H$6="",$H$7=""),"",IF($B51="","",IF(ISNA(VLOOKUP($B51,'LT01'!$B$11:$N$80,13,FALSE)),"",VLOOKUP($B51,'LT01'!$B$11:$N$80,13,FALSE))))</f>
        <v>7</v>
      </c>
      <c r="J51" s="83"/>
      <c r="K51" s="84" t="str">
        <f>IF(OR($H$6="",$H$7=""),"",IF($B51="","",IF(ISNA(VLOOKUP($B51,'LT01'!$B$11:$Q$80,16,FALSE)),"",IF(VLOOKUP($B51,'LT01'!$B$11:$Q$80,16,FALSE)="","",VLOOKUP($B51,'LT01'!$B$11:$Q$80,16,FALSE)))))</f>
        <v/>
      </c>
      <c r="L51" s="85">
        <f>IF(OR($L$6="",$L$7=""),"",IF($B51="","",IF(ISNA(VLOOKUP($B51,'LT02'!$B$11:$M$80,12,FALSE)),"",IF(VLOOKUP($B51,'LT02'!$B$11:$M$80,12,FALSE)="","",VLOOKUP($B51,'LT02'!$B$11:$M$80,12,FALSE)))))</f>
        <v>7.3</v>
      </c>
      <c r="M51" s="82">
        <f>IF(OR($L$6="",$L$7=""),"",IF($B51="","",IF(ISNA(VLOOKUP($B51,'LT02'!$B$11:$N$80,13,FALSE)),"",VLOOKUP($B51,'LT02'!$B$11:$N$80,13,FALSE))))</f>
        <v>7.2</v>
      </c>
      <c r="N51" s="83"/>
      <c r="O51" s="84" t="str">
        <f>IF(OR($L$6="",$L$7=""),"",IF($B51="","",IF(ISNA(VLOOKUP($B51,'LT02'!$B$11:$Q$80,16,FALSE)),"",VLOOKUP($B51,'LT02'!$B$11:$Q$80,16,FALSE))))</f>
        <v/>
      </c>
      <c r="P51" s="85">
        <f>IF(OR($P$6="",$P$7=""),"",IF($B51="","",IF(ISNA(VLOOKUP($B51,'LT03'!$B$11:$M$80,12,FALSE)),"",IF(VLOOKUP($B51,'LT03'!$B$11:$M$80,12,FALSE)="","",VLOOKUP($B51,'LT03'!$B$11:$M$80,12,FALSE)))))</f>
        <v>7</v>
      </c>
      <c r="Q51" s="82">
        <f>IF(OR($P$6="",$P$7=""),"",IF($B51="","",IF(ISNA(VLOOKUP($B51,'LT03'!$B$11:$N$80,13,FALSE)),"",VLOOKUP($B51,'LT03'!$B$11:$N$80,13,FALSE))))</f>
        <v>6.7</v>
      </c>
      <c r="R51" s="83"/>
      <c r="S51" s="84" t="str">
        <f>IF(OR($P$6="",$P$7=""),"",IF($B51="","",IF(ISNA(VLOOKUP($B51,'LT03'!$B$11:$Q$80,16,FALSE)),"",VLOOKUP($B51,'LT03'!$B$11:$Q$80,16,FALSE))))</f>
        <v/>
      </c>
      <c r="T51" s="85">
        <f>IF(OR($T$6="",$T$7=""),"",IF($B51="","",IF(ISNA(VLOOKUP($B51,'LT04'!$B$11:$M$80,12,FALSE)),"",IF(VLOOKUP($B51,'LT04'!$B$11:$M$80,12,FALSE)="","",VLOOKUP($B51,'LT04'!$B$11:$M$80,12,FALSE)))))</f>
        <v>8</v>
      </c>
      <c r="U51" s="82">
        <f>IF(OR($T$6="",$T$7=""),"",IF($B51="","",IF(ISNA(VLOOKUP($B51,'LT04'!$B$11:$N$80,13,FALSE)),"",VLOOKUP($B51,'LT04'!$B$11:$N$80,13,FALSE))))</f>
        <v>7.7</v>
      </c>
      <c r="V51" s="83"/>
      <c r="W51" s="84" t="str">
        <f>IF(OR($T$6="",$T$7=""),"",IF($B51="","",IF(ISNA(VLOOKUP($B51,'LT04'!$B$11:$Q$80,16,FALSE)),"",VLOOKUP($B51,'LT04'!$B$11:$Q$80,16,FALSE))))</f>
        <v/>
      </c>
      <c r="X51" s="85">
        <f>IF(OR($X$6="",$X$7=""),"",IF($B51="","",IF(ISNA(VLOOKUP($B51,'LT05'!$B$11:$M$80,12,FALSE)),"",IF(VLOOKUP($B51,'LT05'!$B$11:$M$80,12,FALSE)="","",VLOOKUP($B51,'LT05'!$B$11:$M$80,12,FALSE)))))</f>
        <v>6.3</v>
      </c>
      <c r="Y51" s="82">
        <f>IF(OR($X$6="",$X$7=""),"",IF($B51="","",IF(ISNA(VLOOKUP($B51,'LT05'!$B$11:$N$80,13,FALSE)),"",VLOOKUP($B51,'LT05'!$B$11:$N$80,13,FALSE))))</f>
        <v>6.6</v>
      </c>
      <c r="Z51" s="83"/>
      <c r="AA51" s="84" t="str">
        <f>IF(OR($X$6="",$X$7=""),"",IF($B51="","",IF(ISNA(VLOOKUP($B51,'LT05'!$B$11:$Q$80,16,FALSE)),"",VLOOKUP($B51,'LT05'!$B$11:$Q$80,16,FALSE))))</f>
        <v/>
      </c>
      <c r="AB51" s="85" t="str">
        <f>IF(OR($AB$6="",$AB$7=""),"",IF($B51="","",IF(ISNA(VLOOKUP($B51,'LT06'!$B$11:$M$80,12,FALSE)),"",IF(VLOOKUP($B51,'LT06'!$B$11:$M$80,12,FALSE)="","",VLOOKUP($B51,'LT06'!$B$11:$M$80,12,FALSE)))))</f>
        <v/>
      </c>
      <c r="AC51" s="82" t="str">
        <f>IF(OR($AB$6="",$AB$7=""),"",IF($B51="","",IF(ISNA(VLOOKUP($B51,'LT06'!$B$11:$N$80,13,FALSE)),"",VLOOKUP($B51,'LT06'!$B$11:$N$80,13,FALSE))))</f>
        <v/>
      </c>
      <c r="AD51" s="83"/>
      <c r="AE51" s="84" t="str">
        <f>IF(OR($AB$6="",$AB$7=""),"",IF($B51="","",IF(ISNA(VLOOKUP($B51,'LT06'!$B$11:$Q$80,16,FALSE)),"",VLOOKUP($B51,'LT06'!$B$11:$Q$80,16,FALSE))))</f>
        <v/>
      </c>
      <c r="AF51" s="85" t="str">
        <f>IF(OR($AF$6="",$AF$7=""),"",IF($B51="","",IF(ISNA(VLOOKUP($B51,'LT07'!$B$11:$M$80,12,FALSE)),"",IF(VLOOKUP($B51,'LT07'!$B$11:$M$80,12,FALSE)="","",VLOOKUP($B51,'LT07'!$B$11:$M$80,12,FALSE)))))</f>
        <v/>
      </c>
      <c r="AG51" s="82" t="str">
        <f>IF(OR($AF$6="",$AF$7=""),"",IF($B51="","",IF(ISNA(VLOOKUP($B51,'LT07'!$B$11:$N$80,13,FALSE)),"",VLOOKUP($B51,'LT07'!$B$11:$N$80,13,FALSE))))</f>
        <v/>
      </c>
      <c r="AH51" s="83"/>
      <c r="AI51" s="84" t="str">
        <f>IF(OR($AF$6="",$AF$7=""),"",IF($B51="","",IF(ISNA(VLOOKUP($B51,'LT07'!$B$11:$Q$80,16,FALSE)),"",VLOOKUP($B51,'LT07'!$B$11:$Q$80,16,FALSE))))</f>
        <v/>
      </c>
      <c r="AJ51" s="304"/>
      <c r="AK51" s="82" t="str">
        <f>IF(OR($AJ$6="",$AJ$7=""),"",IF($B51="","",IF(ISNA(VLOOKUP($B51,'DO AN'!$B$11:$L$80,11,FALSE)),"",IF(VLOOKUP($B51,'DO AN'!$B$11:$L$80,11,FALSE)="","",VLOOKUP($B51,'DO AN'!$B$11:$L$80,11,FALSE)))))</f>
        <v/>
      </c>
      <c r="AL51" s="83"/>
      <c r="AM51" s="451"/>
      <c r="AN51" s="83"/>
      <c r="AO51" s="82" t="str">
        <f>IF(OR($AN$6="",$AN$7=""),"",IF($B51="","",IF(ISNA(VLOOKUP($B51,'DO AN 2'!$B$11:$L$80,11,FALSE)),"",IF(VLOOKUP($B51,'DO AN 2'!$B$11:$L$80,11,FALSE)="","",VLOOKUP($B51,'DO AN 2'!$B$11:$L$80,11,FALSE)))))</f>
        <v/>
      </c>
      <c r="AP51" s="83"/>
      <c r="AQ51" s="83"/>
      <c r="AR51" s="454"/>
      <c r="AS51" s="82">
        <f>IF(OR($AR$6="",$AR$7=""),"",IF($B51="","",IF(ISNA(VLOOKUP($B51,'TH01'!$B$11:$O$80,14,FALSE)),"",VLOOKUP($B51,'TH01'!$B$11:$O$80,14,FALSE))))</f>
        <v>6.2</v>
      </c>
      <c r="AT51" s="83"/>
      <c r="AU51" s="303"/>
      <c r="AV51" s="304"/>
      <c r="AW51" s="82">
        <f>IF(OR($AV$6="",$AV$7=""),"",IF($B51="","",IF(ISNA(VLOOKUP($B51,'TH02'!$B$11:$O$80,14,FALSE)),"",VLOOKUP($B51,'TH02'!$B$11:$O$80,14,FALSE))))</f>
        <v>7.5</v>
      </c>
      <c r="AX51" s="83"/>
      <c r="AY51" s="303"/>
      <c r="AZ51" s="304"/>
      <c r="BA51" s="82">
        <f>IF(OR($AZ$6="",$AZ$7=""),"",IF($B51="","",IF(ISNA(VLOOKUP($B51,'TH03'!$B$11:$O$80,14,FALSE)),"",VLOOKUP($B51,'TH03'!$B$11:$O$80,14,FALSE))))</f>
        <v>7.3</v>
      </c>
      <c r="BB51" s="83"/>
      <c r="BC51" s="303"/>
      <c r="BD51" s="86">
        <f t="shared" si="11"/>
        <v>7</v>
      </c>
      <c r="BE51" s="86" t="str">
        <f t="shared" si="12"/>
        <v/>
      </c>
      <c r="BF51" s="87">
        <v>74</v>
      </c>
      <c r="BG51" s="88" t="str">
        <f t="shared" si="92"/>
        <v>Khá</v>
      </c>
      <c r="BH51" s="88" t="str">
        <f t="shared" si="93"/>
        <v/>
      </c>
      <c r="BI51" s="87" t="s">
        <v>2708</v>
      </c>
      <c r="BJ51" s="86" t="str">
        <f t="shared" si="94"/>
        <v/>
      </c>
      <c r="BK51" s="265">
        <f t="shared" si="95"/>
        <v>18</v>
      </c>
      <c r="BL51" s="88">
        <f t="shared" si="96"/>
        <v>0</v>
      </c>
      <c r="BM51" s="88">
        <f t="shared" si="97"/>
        <v>18</v>
      </c>
      <c r="BN51" s="88">
        <f t="shared" si="98"/>
        <v>0</v>
      </c>
      <c r="BO51" s="86">
        <f t="shared" si="13"/>
        <v>7</v>
      </c>
      <c r="BP51" s="86" t="str">
        <f t="shared" si="99"/>
        <v>BT</v>
      </c>
      <c r="BQ51" s="86">
        <f t="shared" si="14"/>
        <v>7</v>
      </c>
      <c r="BR51" s="86" t="str">
        <f t="shared" si="100"/>
        <v>BT</v>
      </c>
      <c r="BS51" s="87"/>
      <c r="BT51" s="276">
        <f t="shared" si="15"/>
        <v>0</v>
      </c>
      <c r="BU51" s="238">
        <f t="shared" si="16"/>
        <v>7</v>
      </c>
      <c r="BV51" s="238">
        <f t="shared" si="17"/>
        <v>7.3</v>
      </c>
      <c r="BW51" s="238">
        <f t="shared" si="18"/>
        <v>7</v>
      </c>
      <c r="BX51" s="238">
        <f t="shared" si="19"/>
        <v>8</v>
      </c>
      <c r="BY51" s="238">
        <f t="shared" si="20"/>
        <v>6.3</v>
      </c>
      <c r="BZ51" s="238" t="str">
        <f t="shared" si="21"/>
        <v/>
      </c>
      <c r="CA51" s="238" t="str">
        <f t="shared" si="22"/>
        <v/>
      </c>
      <c r="CB51" s="238" t="str">
        <f t="shared" si="23"/>
        <v/>
      </c>
      <c r="CC51" s="238" t="str">
        <f t="shared" si="24"/>
        <v/>
      </c>
      <c r="CD51" s="238">
        <f t="shared" si="25"/>
        <v>6.2</v>
      </c>
      <c r="CE51" s="238">
        <f t="shared" si="26"/>
        <v>7.5</v>
      </c>
      <c r="CF51" s="238">
        <f t="shared" si="27"/>
        <v>7.3</v>
      </c>
      <c r="CG51" s="239">
        <f t="shared" si="28"/>
        <v>0</v>
      </c>
      <c r="CH51" s="238">
        <f t="shared" si="29"/>
        <v>7</v>
      </c>
      <c r="CI51" s="238">
        <f t="shared" si="30"/>
        <v>7.2</v>
      </c>
      <c r="CJ51" s="238">
        <f t="shared" si="31"/>
        <v>6.7</v>
      </c>
      <c r="CK51" s="238">
        <f t="shared" si="32"/>
        <v>7.7</v>
      </c>
      <c r="CL51" s="238">
        <f t="shared" si="33"/>
        <v>6.6</v>
      </c>
      <c r="CM51" s="238" t="str">
        <f t="shared" si="34"/>
        <v/>
      </c>
      <c r="CN51" s="238" t="str">
        <f t="shared" si="35"/>
        <v/>
      </c>
      <c r="CO51" s="238" t="str">
        <f t="shared" si="36"/>
        <v/>
      </c>
      <c r="CP51" s="238" t="str">
        <f t="shared" si="37"/>
        <v/>
      </c>
      <c r="CQ51" s="238">
        <f t="shared" si="38"/>
        <v>6.2</v>
      </c>
      <c r="CR51" s="238">
        <f t="shared" si="39"/>
        <v>7.5</v>
      </c>
      <c r="CS51" s="238">
        <f t="shared" si="40"/>
        <v>7.3</v>
      </c>
      <c r="CT51" s="240">
        <f t="shared" si="41"/>
        <v>7</v>
      </c>
      <c r="CU51" s="241">
        <f t="shared" si="42"/>
        <v>7</v>
      </c>
      <c r="CV51" s="241">
        <f t="shared" si="43"/>
        <v>7.2</v>
      </c>
      <c r="CW51" s="241">
        <f t="shared" si="44"/>
        <v>6.7</v>
      </c>
      <c r="CX51" s="241">
        <f t="shared" si="45"/>
        <v>7.7</v>
      </c>
      <c r="CY51" s="241">
        <f t="shared" si="46"/>
        <v>6.6</v>
      </c>
      <c r="CZ51" s="241" t="str">
        <f t="shared" si="47"/>
        <v/>
      </c>
      <c r="DA51" s="241" t="str">
        <f t="shared" si="48"/>
        <v/>
      </c>
      <c r="DB51" s="241" t="str">
        <f t="shared" si="49"/>
        <v/>
      </c>
      <c r="DC51" s="241" t="str">
        <f t="shared" si="50"/>
        <v/>
      </c>
      <c r="DD51" s="241">
        <f t="shared" si="51"/>
        <v>6.2</v>
      </c>
      <c r="DE51" s="241">
        <f t="shared" si="52"/>
        <v>7.5</v>
      </c>
      <c r="DF51" s="241">
        <f t="shared" si="53"/>
        <v>7.3</v>
      </c>
      <c r="DG51" s="242">
        <f t="shared" si="101"/>
        <v>7</v>
      </c>
      <c r="DH51" s="82" t="str">
        <f t="shared" si="54"/>
        <v/>
      </c>
      <c r="DI51" s="82" t="str">
        <f t="shared" si="55"/>
        <v/>
      </c>
      <c r="DJ51" s="82" t="str">
        <f t="shared" si="56"/>
        <v/>
      </c>
      <c r="DK51" s="82" t="str">
        <f t="shared" si="57"/>
        <v/>
      </c>
      <c r="DL51" s="82" t="str">
        <f t="shared" si="58"/>
        <v/>
      </c>
      <c r="DM51" s="82" t="str">
        <f t="shared" si="59"/>
        <v/>
      </c>
      <c r="DN51" s="82" t="str">
        <f t="shared" si="60"/>
        <v/>
      </c>
      <c r="DO51" s="82" t="str">
        <f t="shared" si="61"/>
        <v/>
      </c>
      <c r="DP51" s="82" t="str">
        <f t="shared" si="62"/>
        <v/>
      </c>
      <c r="DQ51" s="82" t="str">
        <f t="shared" si="63"/>
        <v/>
      </c>
      <c r="DR51" s="82" t="str">
        <f t="shared" si="64"/>
        <v/>
      </c>
      <c r="DS51" s="253" t="str">
        <f t="shared" si="65"/>
        <v/>
      </c>
      <c r="DT51" s="250">
        <f t="shared" si="66"/>
        <v>7</v>
      </c>
      <c r="DU51" s="238">
        <f t="shared" si="67"/>
        <v>7.2</v>
      </c>
      <c r="DV51" s="238">
        <f t="shared" si="68"/>
        <v>6.7</v>
      </c>
      <c r="DW51" s="238">
        <f t="shared" si="69"/>
        <v>7.7</v>
      </c>
      <c r="DX51" s="238">
        <f t="shared" si="70"/>
        <v>6.6</v>
      </c>
      <c r="DY51" s="238" t="str">
        <f t="shared" si="71"/>
        <v/>
      </c>
      <c r="DZ51" s="238" t="str">
        <f t="shared" si="72"/>
        <v/>
      </c>
      <c r="EA51" s="238" t="str">
        <f t="shared" si="73"/>
        <v/>
      </c>
      <c r="EB51" s="238" t="str">
        <f t="shared" si="74"/>
        <v/>
      </c>
      <c r="EC51" s="238">
        <f t="shared" si="75"/>
        <v>6.2</v>
      </c>
      <c r="ED51" s="238">
        <f t="shared" si="76"/>
        <v>7.5</v>
      </c>
      <c r="EE51" s="238">
        <f t="shared" si="77"/>
        <v>7.3</v>
      </c>
      <c r="EF51" s="255" t="str">
        <f t="shared" si="78"/>
        <v/>
      </c>
      <c r="EG51" s="257">
        <f t="shared" si="79"/>
        <v>7</v>
      </c>
      <c r="EH51" s="257">
        <f t="shared" si="80"/>
        <v>7.2</v>
      </c>
      <c r="EI51" s="257">
        <f t="shared" si="81"/>
        <v>6.7</v>
      </c>
      <c r="EJ51" s="257">
        <f t="shared" si="82"/>
        <v>7.7</v>
      </c>
      <c r="EK51" s="257">
        <f t="shared" si="83"/>
        <v>6.6</v>
      </c>
      <c r="EL51" s="257" t="str">
        <f t="shared" si="84"/>
        <v/>
      </c>
      <c r="EM51" s="257" t="str">
        <f t="shared" si="85"/>
        <v/>
      </c>
      <c r="EN51" s="257" t="str">
        <f t="shared" si="86"/>
        <v/>
      </c>
      <c r="EO51" s="257" t="str">
        <f t="shared" si="87"/>
        <v/>
      </c>
      <c r="EP51" s="257">
        <f t="shared" si="88"/>
        <v>6.2</v>
      </c>
      <c r="EQ51" s="257">
        <f t="shared" si="89"/>
        <v>7.5</v>
      </c>
      <c r="ER51" s="257">
        <f t="shared" si="90"/>
        <v>7.3</v>
      </c>
      <c r="ES51" s="262">
        <f t="shared" si="102"/>
        <v>7</v>
      </c>
      <c r="ET51" s="307">
        <f t="shared" si="91"/>
        <v>7</v>
      </c>
    </row>
    <row r="52" spans="1:154" s="89" customFormat="1" ht="30" customHeight="1">
      <c r="A52" s="272">
        <f>IF($B52="","",SUBTOTAL(3,$B$11:B52))</f>
        <v>42</v>
      </c>
      <c r="B52" s="457" t="s">
        <v>1607</v>
      </c>
      <c r="C52" s="76" t="str">
        <f>IF($B52="","",VLOOKUP($B52,'DS LOP HKI'!$B$2:$D$951,2,0))</f>
        <v>Nguyễn Việt</v>
      </c>
      <c r="D52" s="77" t="str">
        <f>IF($B52="","",VLOOKUP($B52,'DS LOP HKI'!$B$2:$D$951,3,0))</f>
        <v>Thắng</v>
      </c>
      <c r="E52" s="78"/>
      <c r="F52" s="79"/>
      <c r="G52" s="80">
        <v>1</v>
      </c>
      <c r="H52" s="81">
        <f>IF(OR($H$6="",$H$7=""),"",IF($B52="","",IF(ISNA(VLOOKUP($B52,'LT01'!$B$11:$M$80,12,FALSE)),"",IF(VLOOKUP($B52,'LT01'!$B$11:$M$80,12,FALSE)="","",VLOOKUP($B52,'LT01'!$B$11:$M$80,12,FALSE)))))</f>
        <v>5.5</v>
      </c>
      <c r="I52" s="82">
        <f>IF(OR($H$6="",$H$7=""),"",IF($B52="","",IF(ISNA(VLOOKUP($B52,'LT01'!$B$11:$N$80,13,FALSE)),"",VLOOKUP($B52,'LT01'!$B$11:$N$80,13,FALSE))))</f>
        <v>5.5</v>
      </c>
      <c r="J52" s="83"/>
      <c r="K52" s="84" t="str">
        <f>IF(OR($H$6="",$H$7=""),"",IF($B52="","",IF(ISNA(VLOOKUP($B52,'LT01'!$B$11:$Q$80,16,FALSE)),"",IF(VLOOKUP($B52,'LT01'!$B$11:$Q$80,16,FALSE)="","",VLOOKUP($B52,'LT01'!$B$11:$Q$80,16,FALSE)))))</f>
        <v/>
      </c>
      <c r="L52" s="85">
        <f>IF(OR($L$6="",$L$7=""),"",IF($B52="","",IF(ISNA(VLOOKUP($B52,'LT02'!$B$11:$M$80,12,FALSE)),"",IF(VLOOKUP($B52,'LT02'!$B$11:$M$80,12,FALSE)="","",VLOOKUP($B52,'LT02'!$B$11:$M$80,12,FALSE)))))</f>
        <v>6.5</v>
      </c>
      <c r="M52" s="82">
        <f>IF(OR($L$6="",$L$7=""),"",IF($B52="","",IF(ISNA(VLOOKUP($B52,'LT02'!$B$11:$N$80,13,FALSE)),"",VLOOKUP($B52,'LT02'!$B$11:$N$80,13,FALSE))))</f>
        <v>5.6</v>
      </c>
      <c r="N52" s="83"/>
      <c r="O52" s="84" t="str">
        <f>IF(OR($L$6="",$L$7=""),"",IF($B52="","",IF(ISNA(VLOOKUP($B52,'LT02'!$B$11:$Q$80,16,FALSE)),"",VLOOKUP($B52,'LT02'!$B$11:$Q$80,16,FALSE))))</f>
        <v/>
      </c>
      <c r="P52" s="85">
        <f>IF(OR($P$6="",$P$7=""),"",IF($B52="","",IF(ISNA(VLOOKUP($B52,'LT03'!$B$11:$M$80,12,FALSE)),"",IF(VLOOKUP($B52,'LT03'!$B$11:$M$80,12,FALSE)="","",VLOOKUP($B52,'LT03'!$B$11:$M$80,12,FALSE)))))</f>
        <v>3.5</v>
      </c>
      <c r="Q52" s="82">
        <f>IF(OR($P$6="",$P$7=""),"",IF($B52="","",IF(ISNA(VLOOKUP($B52,'LT03'!$B$11:$N$80,13,FALSE)),"",VLOOKUP($B52,'LT03'!$B$11:$N$80,13,FALSE))))</f>
        <v>5</v>
      </c>
      <c r="R52" s="83"/>
      <c r="S52" s="84" t="str">
        <f>IF(OR($P$6="",$P$7=""),"",IF($B52="","",IF(ISNA(VLOOKUP($B52,'LT03'!$B$11:$Q$80,16,FALSE)),"",VLOOKUP($B52,'LT03'!$B$11:$Q$80,16,FALSE))))</f>
        <v/>
      </c>
      <c r="T52" s="85">
        <f>IF(OR($T$6="",$T$7=""),"",IF($B52="","",IF(ISNA(VLOOKUP($B52,'LT04'!$B$11:$M$80,12,FALSE)),"",IF(VLOOKUP($B52,'LT04'!$B$11:$M$80,12,FALSE)="","",VLOOKUP($B52,'LT04'!$B$11:$M$80,12,FALSE)))))</f>
        <v>6.3</v>
      </c>
      <c r="U52" s="82">
        <f>IF(OR($T$6="",$T$7=""),"",IF($B52="","",IF(ISNA(VLOOKUP($B52,'LT04'!$B$11:$N$80,13,FALSE)),"",VLOOKUP($B52,'LT04'!$B$11:$N$80,13,FALSE))))</f>
        <v>6.2</v>
      </c>
      <c r="V52" s="83"/>
      <c r="W52" s="84" t="str">
        <f>IF(OR($T$6="",$T$7=""),"",IF($B52="","",IF(ISNA(VLOOKUP($B52,'LT04'!$B$11:$Q$80,16,FALSE)),"",VLOOKUP($B52,'LT04'!$B$11:$Q$80,16,FALSE))))</f>
        <v/>
      </c>
      <c r="X52" s="85">
        <f>IF(OR($X$6="",$X$7=""),"",IF($B52="","",IF(ISNA(VLOOKUP($B52,'LT05'!$B$11:$M$80,12,FALSE)),"",IF(VLOOKUP($B52,'LT05'!$B$11:$M$80,12,FALSE)="","",VLOOKUP($B52,'LT05'!$B$11:$M$80,12,FALSE)))))</f>
        <v>4.5</v>
      </c>
      <c r="Y52" s="82">
        <f>IF(OR($X$6="",$X$7=""),"",IF($B52="","",IF(ISNA(VLOOKUP($B52,'LT05'!$B$11:$N$80,13,FALSE)),"",VLOOKUP($B52,'LT05'!$B$11:$N$80,13,FALSE))))</f>
        <v>5.0999999999999996</v>
      </c>
      <c r="Z52" s="83"/>
      <c r="AA52" s="84" t="str">
        <f>IF(OR($X$6="",$X$7=""),"",IF($B52="","",IF(ISNA(VLOOKUP($B52,'LT05'!$B$11:$Q$80,16,FALSE)),"",VLOOKUP($B52,'LT05'!$B$11:$Q$80,16,FALSE))))</f>
        <v/>
      </c>
      <c r="AB52" s="85" t="str">
        <f>IF(OR($AB$6="",$AB$7=""),"",IF($B52="","",IF(ISNA(VLOOKUP($B52,'LT06'!$B$11:$M$80,12,FALSE)),"",IF(VLOOKUP($B52,'LT06'!$B$11:$M$80,12,FALSE)="","",VLOOKUP($B52,'LT06'!$B$11:$M$80,12,FALSE)))))</f>
        <v/>
      </c>
      <c r="AC52" s="82" t="str">
        <f>IF(OR($AB$6="",$AB$7=""),"",IF($B52="","",IF(ISNA(VLOOKUP($B52,'LT06'!$B$11:$N$80,13,FALSE)),"",VLOOKUP($B52,'LT06'!$B$11:$N$80,13,FALSE))))</f>
        <v/>
      </c>
      <c r="AD52" s="83"/>
      <c r="AE52" s="84" t="str">
        <f>IF(OR($AB$6="",$AB$7=""),"",IF($B52="","",IF(ISNA(VLOOKUP($B52,'LT06'!$B$11:$Q$80,16,FALSE)),"",VLOOKUP($B52,'LT06'!$B$11:$Q$80,16,FALSE))))</f>
        <v/>
      </c>
      <c r="AF52" s="85" t="str">
        <f>IF(OR($AF$6="",$AF$7=""),"",IF($B52="","",IF(ISNA(VLOOKUP($B52,'LT07'!$B$11:$M$80,12,FALSE)),"",IF(VLOOKUP($B52,'LT07'!$B$11:$M$80,12,FALSE)="","",VLOOKUP($B52,'LT07'!$B$11:$M$80,12,FALSE)))))</f>
        <v/>
      </c>
      <c r="AG52" s="82" t="str">
        <f>IF(OR($AF$6="",$AF$7=""),"",IF($B52="","",IF(ISNA(VLOOKUP($B52,'LT07'!$B$11:$N$80,13,FALSE)),"",VLOOKUP($B52,'LT07'!$B$11:$N$80,13,FALSE))))</f>
        <v/>
      </c>
      <c r="AH52" s="83"/>
      <c r="AI52" s="84" t="str">
        <f>IF(OR($AF$6="",$AF$7=""),"",IF($B52="","",IF(ISNA(VLOOKUP($B52,'LT07'!$B$11:$Q$80,16,FALSE)),"",VLOOKUP($B52,'LT07'!$B$11:$Q$80,16,FALSE))))</f>
        <v/>
      </c>
      <c r="AJ52" s="304"/>
      <c r="AK52" s="82" t="str">
        <f>IF(OR($AJ$6="",$AJ$7=""),"",IF($B52="","",IF(ISNA(VLOOKUP($B52,'DO AN'!$B$11:$L$80,11,FALSE)),"",IF(VLOOKUP($B52,'DO AN'!$B$11:$L$80,11,FALSE)="","",VLOOKUP($B52,'DO AN'!$B$11:$L$80,11,FALSE)))))</f>
        <v/>
      </c>
      <c r="AL52" s="83"/>
      <c r="AM52" s="451"/>
      <c r="AN52" s="83"/>
      <c r="AO52" s="82" t="str">
        <f>IF(OR($AN$6="",$AN$7=""),"",IF($B52="","",IF(ISNA(VLOOKUP($B52,'DO AN 2'!$B$11:$L$80,11,FALSE)),"",IF(VLOOKUP($B52,'DO AN 2'!$B$11:$L$80,11,FALSE)="","",VLOOKUP($B52,'DO AN 2'!$B$11:$L$80,11,FALSE)))))</f>
        <v/>
      </c>
      <c r="AP52" s="83"/>
      <c r="AQ52" s="83"/>
      <c r="AR52" s="454"/>
      <c r="AS52" s="82">
        <f>IF(OR($AR$6="",$AR$7=""),"",IF($B52="","",IF(ISNA(VLOOKUP($B52,'TH01'!$B$11:$O$80,14,FALSE)),"",VLOOKUP($B52,'TH01'!$B$11:$O$80,14,FALSE))))</f>
        <v>5.8</v>
      </c>
      <c r="AT52" s="83"/>
      <c r="AU52" s="303"/>
      <c r="AV52" s="304"/>
      <c r="AW52" s="82">
        <f>IF(OR($AV$6="",$AV$7=""),"",IF($B52="","",IF(ISNA(VLOOKUP($B52,'TH02'!$B$11:$O$80,14,FALSE)),"",VLOOKUP($B52,'TH02'!$B$11:$O$80,14,FALSE))))</f>
        <v>6.3</v>
      </c>
      <c r="AX52" s="83"/>
      <c r="AY52" s="303"/>
      <c r="AZ52" s="304"/>
      <c r="BA52" s="82">
        <f>IF(OR($AZ$6="",$AZ$7=""),"",IF($B52="","",IF(ISNA(VLOOKUP($B52,'TH03'!$B$11:$O$80,14,FALSE)),"",VLOOKUP($B52,'TH03'!$B$11:$O$80,14,FALSE))))</f>
        <v>5</v>
      </c>
      <c r="BB52" s="83"/>
      <c r="BC52" s="303"/>
      <c r="BD52" s="86">
        <f t="shared" si="11"/>
        <v>5.53</v>
      </c>
      <c r="BE52" s="86" t="str">
        <f t="shared" si="12"/>
        <v/>
      </c>
      <c r="BF52" s="87">
        <v>59</v>
      </c>
      <c r="BG52" s="88" t="str">
        <f t="shared" si="92"/>
        <v>T.Bình</v>
      </c>
      <c r="BH52" s="88" t="str">
        <f t="shared" si="93"/>
        <v/>
      </c>
      <c r="BI52" s="87"/>
      <c r="BJ52" s="86" t="str">
        <f t="shared" si="94"/>
        <v/>
      </c>
      <c r="BK52" s="265">
        <f t="shared" si="95"/>
        <v>18</v>
      </c>
      <c r="BL52" s="88">
        <f t="shared" si="96"/>
        <v>0</v>
      </c>
      <c r="BM52" s="88">
        <f t="shared" si="97"/>
        <v>18</v>
      </c>
      <c r="BN52" s="88">
        <f t="shared" si="98"/>
        <v>0</v>
      </c>
      <c r="BO52" s="86">
        <f t="shared" si="13"/>
        <v>5.53</v>
      </c>
      <c r="BP52" s="86" t="str">
        <f t="shared" si="99"/>
        <v>BT</v>
      </c>
      <c r="BQ52" s="86">
        <f t="shared" si="14"/>
        <v>5.53</v>
      </c>
      <c r="BR52" s="86" t="str">
        <f t="shared" si="100"/>
        <v>BT</v>
      </c>
      <c r="BS52" s="87"/>
      <c r="BT52" s="276">
        <f t="shared" si="15"/>
        <v>2</v>
      </c>
      <c r="BU52" s="238">
        <f t="shared" si="16"/>
        <v>5.5</v>
      </c>
      <c r="BV52" s="238">
        <f t="shared" si="17"/>
        <v>6.5</v>
      </c>
      <c r="BW52" s="238">
        <f t="shared" si="18"/>
        <v>3.5</v>
      </c>
      <c r="BX52" s="238">
        <f t="shared" si="19"/>
        <v>6.3</v>
      </c>
      <c r="BY52" s="238">
        <f t="shared" si="20"/>
        <v>4.5</v>
      </c>
      <c r="BZ52" s="238" t="str">
        <f t="shared" si="21"/>
        <v/>
      </c>
      <c r="CA52" s="238" t="str">
        <f t="shared" si="22"/>
        <v/>
      </c>
      <c r="CB52" s="238" t="str">
        <f t="shared" si="23"/>
        <v/>
      </c>
      <c r="CC52" s="238" t="str">
        <f t="shared" si="24"/>
        <v/>
      </c>
      <c r="CD52" s="238">
        <f t="shared" si="25"/>
        <v>5.8</v>
      </c>
      <c r="CE52" s="238">
        <f t="shared" si="26"/>
        <v>6.3</v>
      </c>
      <c r="CF52" s="238">
        <f t="shared" si="27"/>
        <v>5</v>
      </c>
      <c r="CG52" s="239">
        <f t="shared" si="28"/>
        <v>0</v>
      </c>
      <c r="CH52" s="238">
        <f t="shared" si="29"/>
        <v>5.5</v>
      </c>
      <c r="CI52" s="238">
        <f t="shared" si="30"/>
        <v>5.6</v>
      </c>
      <c r="CJ52" s="238">
        <f t="shared" si="31"/>
        <v>5</v>
      </c>
      <c r="CK52" s="238">
        <f t="shared" si="32"/>
        <v>6.2</v>
      </c>
      <c r="CL52" s="238">
        <f t="shared" si="33"/>
        <v>5.0999999999999996</v>
      </c>
      <c r="CM52" s="238" t="str">
        <f t="shared" si="34"/>
        <v/>
      </c>
      <c r="CN52" s="238" t="str">
        <f t="shared" si="35"/>
        <v/>
      </c>
      <c r="CO52" s="238" t="str">
        <f t="shared" si="36"/>
        <v/>
      </c>
      <c r="CP52" s="238" t="str">
        <f t="shared" si="37"/>
        <v/>
      </c>
      <c r="CQ52" s="238">
        <f t="shared" si="38"/>
        <v>5.8</v>
      </c>
      <c r="CR52" s="238">
        <f t="shared" si="39"/>
        <v>6.3</v>
      </c>
      <c r="CS52" s="238">
        <f t="shared" si="40"/>
        <v>5</v>
      </c>
      <c r="CT52" s="240">
        <f t="shared" si="41"/>
        <v>5.53</v>
      </c>
      <c r="CU52" s="241">
        <f t="shared" si="42"/>
        <v>5.5</v>
      </c>
      <c r="CV52" s="241">
        <f t="shared" si="43"/>
        <v>5.6</v>
      </c>
      <c r="CW52" s="241">
        <f t="shared" si="44"/>
        <v>5</v>
      </c>
      <c r="CX52" s="241">
        <f t="shared" si="45"/>
        <v>6.2</v>
      </c>
      <c r="CY52" s="241">
        <f t="shared" si="46"/>
        <v>5.0999999999999996</v>
      </c>
      <c r="CZ52" s="241" t="str">
        <f t="shared" si="47"/>
        <v/>
      </c>
      <c r="DA52" s="241" t="str">
        <f t="shared" si="48"/>
        <v/>
      </c>
      <c r="DB52" s="241" t="str">
        <f t="shared" si="49"/>
        <v/>
      </c>
      <c r="DC52" s="241" t="str">
        <f t="shared" si="50"/>
        <v/>
      </c>
      <c r="DD52" s="241">
        <f t="shared" si="51"/>
        <v>5.8</v>
      </c>
      <c r="DE52" s="241">
        <f t="shared" si="52"/>
        <v>6.3</v>
      </c>
      <c r="DF52" s="241">
        <f t="shared" si="53"/>
        <v>5</v>
      </c>
      <c r="DG52" s="242">
        <f t="shared" si="101"/>
        <v>5.53</v>
      </c>
      <c r="DH52" s="82" t="str">
        <f t="shared" si="54"/>
        <v/>
      </c>
      <c r="DI52" s="82" t="str">
        <f t="shared" si="55"/>
        <v/>
      </c>
      <c r="DJ52" s="82" t="str">
        <f t="shared" si="56"/>
        <v/>
      </c>
      <c r="DK52" s="82" t="str">
        <f t="shared" si="57"/>
        <v/>
      </c>
      <c r="DL52" s="82" t="str">
        <f t="shared" si="58"/>
        <v/>
      </c>
      <c r="DM52" s="82" t="str">
        <f t="shared" si="59"/>
        <v/>
      </c>
      <c r="DN52" s="82" t="str">
        <f t="shared" si="60"/>
        <v/>
      </c>
      <c r="DO52" s="82" t="str">
        <f t="shared" si="61"/>
        <v/>
      </c>
      <c r="DP52" s="82" t="str">
        <f t="shared" si="62"/>
        <v/>
      </c>
      <c r="DQ52" s="82" t="str">
        <f t="shared" si="63"/>
        <v/>
      </c>
      <c r="DR52" s="82" t="str">
        <f t="shared" si="64"/>
        <v/>
      </c>
      <c r="DS52" s="253" t="str">
        <f t="shared" si="65"/>
        <v/>
      </c>
      <c r="DT52" s="250">
        <f t="shared" si="66"/>
        <v>5.5</v>
      </c>
      <c r="DU52" s="238">
        <f t="shared" si="67"/>
        <v>5.6</v>
      </c>
      <c r="DV52" s="238">
        <f t="shared" si="68"/>
        <v>5</v>
      </c>
      <c r="DW52" s="238">
        <f t="shared" si="69"/>
        <v>6.2</v>
      </c>
      <c r="DX52" s="238">
        <f t="shared" si="70"/>
        <v>5.0999999999999996</v>
      </c>
      <c r="DY52" s="238" t="str">
        <f t="shared" si="71"/>
        <v/>
      </c>
      <c r="DZ52" s="238" t="str">
        <f t="shared" si="72"/>
        <v/>
      </c>
      <c r="EA52" s="238" t="str">
        <f t="shared" si="73"/>
        <v/>
      </c>
      <c r="EB52" s="238" t="str">
        <f t="shared" si="74"/>
        <v/>
      </c>
      <c r="EC52" s="238">
        <f t="shared" si="75"/>
        <v>5.8</v>
      </c>
      <c r="ED52" s="238">
        <f t="shared" si="76"/>
        <v>6.3</v>
      </c>
      <c r="EE52" s="238">
        <f t="shared" si="77"/>
        <v>5</v>
      </c>
      <c r="EF52" s="255" t="str">
        <f t="shared" si="78"/>
        <v/>
      </c>
      <c r="EG52" s="257">
        <f t="shared" si="79"/>
        <v>5.5</v>
      </c>
      <c r="EH52" s="257">
        <f t="shared" si="80"/>
        <v>5.6</v>
      </c>
      <c r="EI52" s="257">
        <f t="shared" si="81"/>
        <v>5</v>
      </c>
      <c r="EJ52" s="257">
        <f t="shared" si="82"/>
        <v>6.2</v>
      </c>
      <c r="EK52" s="257">
        <f t="shared" si="83"/>
        <v>5.0999999999999996</v>
      </c>
      <c r="EL52" s="257" t="str">
        <f t="shared" si="84"/>
        <v/>
      </c>
      <c r="EM52" s="257" t="str">
        <f t="shared" si="85"/>
        <v/>
      </c>
      <c r="EN52" s="257" t="str">
        <f t="shared" si="86"/>
        <v/>
      </c>
      <c r="EO52" s="257" t="str">
        <f t="shared" si="87"/>
        <v/>
      </c>
      <c r="EP52" s="257">
        <f t="shared" si="88"/>
        <v>5.8</v>
      </c>
      <c r="EQ52" s="257">
        <f t="shared" si="89"/>
        <v>6.3</v>
      </c>
      <c r="ER52" s="257">
        <f t="shared" si="90"/>
        <v>5</v>
      </c>
      <c r="ES52" s="262">
        <f t="shared" si="102"/>
        <v>5.53</v>
      </c>
      <c r="ET52" s="307">
        <f t="shared" si="91"/>
        <v>5.53</v>
      </c>
    </row>
    <row r="53" spans="1:154" s="90" customFormat="1" ht="30" customHeight="1">
      <c r="A53" s="272">
        <f>IF($B53="","",SUBTOTAL(3,$B$11:B53))</f>
        <v>43</v>
      </c>
      <c r="B53" s="457" t="s">
        <v>1611</v>
      </c>
      <c r="C53" s="76" t="str">
        <f>IF($B53="","",VLOOKUP($B53,'DS LOP HKI'!$B$2:$D$951,2,0))</f>
        <v>Trần Minh</v>
      </c>
      <c r="D53" s="77" t="str">
        <f>IF($B53="","",VLOOKUP($B53,'DS LOP HKI'!$B$2:$D$951,3,0))</f>
        <v>Thanh</v>
      </c>
      <c r="E53" s="78"/>
      <c r="F53" s="79"/>
      <c r="G53" s="80"/>
      <c r="H53" s="81">
        <f>IF(OR($H$6="",$H$7=""),"",IF($B53="","",IF(ISNA(VLOOKUP($B53,'LT01'!$B$11:$M$80,12,FALSE)),"",IF(VLOOKUP($B53,'LT01'!$B$11:$M$80,12,FALSE)="","",VLOOKUP($B53,'LT01'!$B$11:$M$80,12,FALSE)))))</f>
        <v>8.5</v>
      </c>
      <c r="I53" s="82">
        <f>IF(OR($H$6="",$H$7=""),"",IF($B53="","",IF(ISNA(VLOOKUP($B53,'LT01'!$B$11:$N$80,13,FALSE)),"",VLOOKUP($B53,'LT01'!$B$11:$N$80,13,FALSE))))</f>
        <v>8.6999999999999993</v>
      </c>
      <c r="J53" s="83"/>
      <c r="K53" s="84" t="str">
        <f>IF(OR($H$6="",$H$7=""),"",IF($B53="","",IF(ISNA(VLOOKUP($B53,'LT01'!$B$11:$Q$80,16,FALSE)),"",IF(VLOOKUP($B53,'LT01'!$B$11:$Q$80,16,FALSE)="","",VLOOKUP($B53,'LT01'!$B$11:$Q$80,16,FALSE)))))</f>
        <v/>
      </c>
      <c r="L53" s="85">
        <f>IF(OR($L$6="",$L$7=""),"",IF($B53="","",IF(ISNA(VLOOKUP($B53,'LT02'!$B$11:$M$80,12,FALSE)),"",IF(VLOOKUP($B53,'LT02'!$B$11:$M$80,12,FALSE)="","",VLOOKUP($B53,'LT02'!$B$11:$M$80,12,FALSE)))))</f>
        <v>8.8000000000000007</v>
      </c>
      <c r="M53" s="82">
        <f>IF(OR($L$6="",$L$7=""),"",IF($B53="","",IF(ISNA(VLOOKUP($B53,'LT02'!$B$11:$N$80,13,FALSE)),"",VLOOKUP($B53,'LT02'!$B$11:$N$80,13,FALSE))))</f>
        <v>7.9</v>
      </c>
      <c r="N53" s="83"/>
      <c r="O53" s="84" t="str">
        <f>IF(OR($L$6="",$L$7=""),"",IF($B53="","",IF(ISNA(VLOOKUP($B53,'LT02'!$B$11:$Q$80,16,FALSE)),"",VLOOKUP($B53,'LT02'!$B$11:$Q$80,16,FALSE))))</f>
        <v/>
      </c>
      <c r="P53" s="85">
        <f>IF(OR($P$6="",$P$7=""),"",IF($B53="","",IF(ISNA(VLOOKUP($B53,'LT03'!$B$11:$M$80,12,FALSE)),"",IF(VLOOKUP($B53,'LT03'!$B$11:$M$80,12,FALSE)="","",VLOOKUP($B53,'LT03'!$B$11:$M$80,12,FALSE)))))</f>
        <v>6.5</v>
      </c>
      <c r="Q53" s="82">
        <f>IF(OR($P$6="",$P$7=""),"",IF($B53="","",IF(ISNA(VLOOKUP($B53,'LT03'!$B$11:$N$80,13,FALSE)),"",VLOOKUP($B53,'LT03'!$B$11:$N$80,13,FALSE))))</f>
        <v>7</v>
      </c>
      <c r="R53" s="83"/>
      <c r="S53" s="84" t="str">
        <f>IF(OR($P$6="",$P$7=""),"",IF($B53="","",IF(ISNA(VLOOKUP($B53,'LT03'!$B$11:$Q$80,16,FALSE)),"",VLOOKUP($B53,'LT03'!$B$11:$Q$80,16,FALSE))))</f>
        <v/>
      </c>
      <c r="T53" s="85">
        <f>IF(OR($T$6="",$T$7=""),"",IF($B53="","",IF(ISNA(VLOOKUP($B53,'LT04'!$B$11:$M$80,12,FALSE)),"",IF(VLOOKUP($B53,'LT04'!$B$11:$M$80,12,FALSE)="","",VLOOKUP($B53,'LT04'!$B$11:$M$80,12,FALSE)))))</f>
        <v>7.5</v>
      </c>
      <c r="U53" s="82">
        <f>IF(OR($T$6="",$T$7=""),"",IF($B53="","",IF(ISNA(VLOOKUP($B53,'LT04'!$B$11:$N$80,13,FALSE)),"",VLOOKUP($B53,'LT04'!$B$11:$N$80,13,FALSE))))</f>
        <v>7.8</v>
      </c>
      <c r="V53" s="83"/>
      <c r="W53" s="84" t="str">
        <f>IF(OR($T$6="",$T$7=""),"",IF($B53="","",IF(ISNA(VLOOKUP($B53,'LT04'!$B$11:$Q$80,16,FALSE)),"",VLOOKUP($B53,'LT04'!$B$11:$Q$80,16,FALSE))))</f>
        <v/>
      </c>
      <c r="X53" s="85">
        <f>IF(OR($X$6="",$X$7=""),"",IF($B53="","",IF(ISNA(VLOOKUP($B53,'LT05'!$B$11:$M$80,12,FALSE)),"",IF(VLOOKUP($B53,'LT05'!$B$11:$M$80,12,FALSE)="","",VLOOKUP($B53,'LT05'!$B$11:$M$80,12,FALSE)))))</f>
        <v>6.3</v>
      </c>
      <c r="Y53" s="82">
        <f>IF(OR($X$6="",$X$7=""),"",IF($B53="","",IF(ISNA(VLOOKUP($B53,'LT05'!$B$11:$N$80,13,FALSE)),"",VLOOKUP($B53,'LT05'!$B$11:$N$80,13,FALSE))))</f>
        <v>7.3</v>
      </c>
      <c r="Z53" s="83"/>
      <c r="AA53" s="84" t="str">
        <f>IF(OR($X$6="",$X$7=""),"",IF($B53="","",IF(ISNA(VLOOKUP($B53,'LT05'!$B$11:$Q$80,16,FALSE)),"",VLOOKUP($B53,'LT05'!$B$11:$Q$80,16,FALSE))))</f>
        <v/>
      </c>
      <c r="AB53" s="85" t="str">
        <f>IF(OR($AB$6="",$AB$7=""),"",IF($B53="","",IF(ISNA(VLOOKUP($B53,'LT06'!$B$11:$M$80,12,FALSE)),"",IF(VLOOKUP($B53,'LT06'!$B$11:$M$80,12,FALSE)="","",VLOOKUP($B53,'LT06'!$B$11:$M$80,12,FALSE)))))</f>
        <v/>
      </c>
      <c r="AC53" s="82" t="str">
        <f>IF(OR($AB$6="",$AB$7=""),"",IF($B53="","",IF(ISNA(VLOOKUP($B53,'LT06'!$B$11:$N$80,13,FALSE)),"",VLOOKUP($B53,'LT06'!$B$11:$N$80,13,FALSE))))</f>
        <v/>
      </c>
      <c r="AD53" s="83"/>
      <c r="AE53" s="84" t="str">
        <f>IF(OR($AB$6="",$AB$7=""),"",IF($B53="","",IF(ISNA(VLOOKUP($B53,'LT06'!$B$11:$Q$80,16,FALSE)),"",VLOOKUP($B53,'LT06'!$B$11:$Q$80,16,FALSE))))</f>
        <v/>
      </c>
      <c r="AF53" s="85" t="str">
        <f>IF(OR($AF$6="",$AF$7=""),"",IF($B53="","",IF(ISNA(VLOOKUP($B53,'LT07'!$B$11:$M$80,12,FALSE)),"",IF(VLOOKUP($B53,'LT07'!$B$11:$M$80,12,FALSE)="","",VLOOKUP($B53,'LT07'!$B$11:$M$80,12,FALSE)))))</f>
        <v/>
      </c>
      <c r="AG53" s="82" t="str">
        <f>IF(OR($AF$6="",$AF$7=""),"",IF($B53="","",IF(ISNA(VLOOKUP($B53,'LT07'!$B$11:$N$80,13,FALSE)),"",VLOOKUP($B53,'LT07'!$B$11:$N$80,13,FALSE))))</f>
        <v/>
      </c>
      <c r="AH53" s="83"/>
      <c r="AI53" s="84" t="str">
        <f>IF(OR($AF$6="",$AF$7=""),"",IF($B53="","",IF(ISNA(VLOOKUP($B53,'LT07'!$B$11:$Q$80,16,FALSE)),"",VLOOKUP($B53,'LT07'!$B$11:$Q$80,16,FALSE))))</f>
        <v/>
      </c>
      <c r="AJ53" s="304"/>
      <c r="AK53" s="82" t="str">
        <f>IF(OR($AJ$6="",$AJ$7=""),"",IF($B53="","",IF(ISNA(VLOOKUP($B53,'DO AN'!$B$11:$L$80,11,FALSE)),"",IF(VLOOKUP($B53,'DO AN'!$B$11:$L$80,11,FALSE)="","",VLOOKUP($B53,'DO AN'!$B$11:$L$80,11,FALSE)))))</f>
        <v/>
      </c>
      <c r="AL53" s="83"/>
      <c r="AM53" s="451"/>
      <c r="AN53" s="83"/>
      <c r="AO53" s="82" t="str">
        <f>IF(OR($AN$6="",$AN$7=""),"",IF($B53="","",IF(ISNA(VLOOKUP($B53,'DO AN 2'!$B$11:$L$80,11,FALSE)),"",IF(VLOOKUP($B53,'DO AN 2'!$B$11:$L$80,11,FALSE)="","",VLOOKUP($B53,'DO AN 2'!$B$11:$L$80,11,FALSE)))))</f>
        <v/>
      </c>
      <c r="AP53" s="83"/>
      <c r="AQ53" s="83"/>
      <c r="AR53" s="454"/>
      <c r="AS53" s="82">
        <f>IF(OR($AR$6="",$AR$7=""),"",IF($B53="","",IF(ISNA(VLOOKUP($B53,'TH01'!$B$11:$O$80,14,FALSE)),"",VLOOKUP($B53,'TH01'!$B$11:$O$80,14,FALSE))))</f>
        <v>8.1999999999999993</v>
      </c>
      <c r="AT53" s="83"/>
      <c r="AU53" s="303"/>
      <c r="AV53" s="304"/>
      <c r="AW53" s="82">
        <f>IF(OR($AV$6="",$AV$7=""),"",IF($B53="","",IF(ISNA(VLOOKUP($B53,'TH02'!$B$11:$O$80,14,FALSE)),"",VLOOKUP($B53,'TH02'!$B$11:$O$80,14,FALSE))))</f>
        <v>9</v>
      </c>
      <c r="AX53" s="83"/>
      <c r="AY53" s="303"/>
      <c r="AZ53" s="304"/>
      <c r="BA53" s="82">
        <f>IF(OR($AZ$6="",$AZ$7=""),"",IF($B53="","",IF(ISNA(VLOOKUP($B53,'TH03'!$B$11:$O$80,14,FALSE)),"",VLOOKUP($B53,'TH03'!$B$11:$O$80,14,FALSE))))</f>
        <v>8.8000000000000007</v>
      </c>
      <c r="BB53" s="83"/>
      <c r="BC53" s="303"/>
      <c r="BD53" s="86">
        <f t="shared" si="11"/>
        <v>8.08</v>
      </c>
      <c r="BE53" s="86" t="str">
        <f t="shared" si="12"/>
        <v/>
      </c>
      <c r="BF53" s="87">
        <v>82</v>
      </c>
      <c r="BG53" s="88" t="str">
        <f t="shared" si="92"/>
        <v>Giỏi</v>
      </c>
      <c r="BH53" s="88" t="str">
        <f t="shared" si="93"/>
        <v/>
      </c>
      <c r="BI53" s="87" t="s">
        <v>2709</v>
      </c>
      <c r="BJ53" s="86" t="str">
        <f t="shared" si="94"/>
        <v/>
      </c>
      <c r="BK53" s="265">
        <f t="shared" si="95"/>
        <v>18</v>
      </c>
      <c r="BL53" s="88">
        <f t="shared" si="96"/>
        <v>0</v>
      </c>
      <c r="BM53" s="88">
        <f t="shared" si="97"/>
        <v>18</v>
      </c>
      <c r="BN53" s="88">
        <f t="shared" si="98"/>
        <v>0</v>
      </c>
      <c r="BO53" s="86">
        <f t="shared" si="13"/>
        <v>8.08</v>
      </c>
      <c r="BP53" s="86" t="str">
        <f t="shared" si="99"/>
        <v>BT</v>
      </c>
      <c r="BQ53" s="86">
        <f t="shared" si="14"/>
        <v>8.08</v>
      </c>
      <c r="BR53" s="86" t="str">
        <f t="shared" si="100"/>
        <v>BT</v>
      </c>
      <c r="BS53" s="87"/>
      <c r="BT53" s="276">
        <f t="shared" si="15"/>
        <v>0</v>
      </c>
      <c r="BU53" s="238">
        <f t="shared" si="16"/>
        <v>8.5</v>
      </c>
      <c r="BV53" s="238">
        <f t="shared" si="17"/>
        <v>8.8000000000000007</v>
      </c>
      <c r="BW53" s="238">
        <f t="shared" si="18"/>
        <v>6.5</v>
      </c>
      <c r="BX53" s="238">
        <f t="shared" si="19"/>
        <v>7.5</v>
      </c>
      <c r="BY53" s="238">
        <f t="shared" si="20"/>
        <v>6.3</v>
      </c>
      <c r="BZ53" s="238" t="str">
        <f t="shared" si="21"/>
        <v/>
      </c>
      <c r="CA53" s="238" t="str">
        <f t="shared" si="22"/>
        <v/>
      </c>
      <c r="CB53" s="238" t="str">
        <f t="shared" si="23"/>
        <v/>
      </c>
      <c r="CC53" s="238" t="str">
        <f t="shared" si="24"/>
        <v/>
      </c>
      <c r="CD53" s="238">
        <f t="shared" si="25"/>
        <v>8.1999999999999993</v>
      </c>
      <c r="CE53" s="238">
        <f t="shared" si="26"/>
        <v>9</v>
      </c>
      <c r="CF53" s="238">
        <f t="shared" si="27"/>
        <v>8.8000000000000007</v>
      </c>
      <c r="CG53" s="239">
        <f t="shared" si="28"/>
        <v>0</v>
      </c>
      <c r="CH53" s="238">
        <f t="shared" si="29"/>
        <v>8.6999999999999993</v>
      </c>
      <c r="CI53" s="238">
        <f t="shared" si="30"/>
        <v>7.9</v>
      </c>
      <c r="CJ53" s="238">
        <f t="shared" si="31"/>
        <v>7</v>
      </c>
      <c r="CK53" s="238">
        <f t="shared" si="32"/>
        <v>7.8</v>
      </c>
      <c r="CL53" s="238">
        <f t="shared" si="33"/>
        <v>7.3</v>
      </c>
      <c r="CM53" s="238" t="str">
        <f t="shared" si="34"/>
        <v/>
      </c>
      <c r="CN53" s="238" t="str">
        <f t="shared" si="35"/>
        <v/>
      </c>
      <c r="CO53" s="238" t="str">
        <f t="shared" si="36"/>
        <v/>
      </c>
      <c r="CP53" s="238" t="str">
        <f t="shared" si="37"/>
        <v/>
      </c>
      <c r="CQ53" s="238">
        <f t="shared" si="38"/>
        <v>8.1999999999999993</v>
      </c>
      <c r="CR53" s="238">
        <f t="shared" si="39"/>
        <v>9</v>
      </c>
      <c r="CS53" s="238">
        <f t="shared" si="40"/>
        <v>8.8000000000000007</v>
      </c>
      <c r="CT53" s="240">
        <f t="shared" si="41"/>
        <v>8.08</v>
      </c>
      <c r="CU53" s="241">
        <f t="shared" si="42"/>
        <v>8.6999999999999993</v>
      </c>
      <c r="CV53" s="241">
        <f t="shared" si="43"/>
        <v>7.9</v>
      </c>
      <c r="CW53" s="241">
        <f t="shared" si="44"/>
        <v>7</v>
      </c>
      <c r="CX53" s="241">
        <f t="shared" si="45"/>
        <v>7.8</v>
      </c>
      <c r="CY53" s="241">
        <f t="shared" si="46"/>
        <v>7.3</v>
      </c>
      <c r="CZ53" s="241" t="str">
        <f t="shared" si="47"/>
        <v/>
      </c>
      <c r="DA53" s="241" t="str">
        <f t="shared" si="48"/>
        <v/>
      </c>
      <c r="DB53" s="241" t="str">
        <f t="shared" si="49"/>
        <v/>
      </c>
      <c r="DC53" s="241" t="str">
        <f t="shared" si="50"/>
        <v/>
      </c>
      <c r="DD53" s="241">
        <f t="shared" si="51"/>
        <v>8.1999999999999993</v>
      </c>
      <c r="DE53" s="241">
        <f t="shared" si="52"/>
        <v>9</v>
      </c>
      <c r="DF53" s="241">
        <f t="shared" si="53"/>
        <v>8.8000000000000007</v>
      </c>
      <c r="DG53" s="242">
        <f t="shared" si="101"/>
        <v>8.08</v>
      </c>
      <c r="DH53" s="82" t="str">
        <f t="shared" si="54"/>
        <v/>
      </c>
      <c r="DI53" s="82" t="str">
        <f t="shared" si="55"/>
        <v/>
      </c>
      <c r="DJ53" s="82" t="str">
        <f t="shared" si="56"/>
        <v/>
      </c>
      <c r="DK53" s="82" t="str">
        <f t="shared" si="57"/>
        <v/>
      </c>
      <c r="DL53" s="82" t="str">
        <f t="shared" si="58"/>
        <v/>
      </c>
      <c r="DM53" s="82" t="str">
        <f t="shared" si="59"/>
        <v/>
      </c>
      <c r="DN53" s="82" t="str">
        <f t="shared" si="60"/>
        <v/>
      </c>
      <c r="DO53" s="82" t="str">
        <f t="shared" si="61"/>
        <v/>
      </c>
      <c r="DP53" s="82" t="str">
        <f t="shared" si="62"/>
        <v/>
      </c>
      <c r="DQ53" s="82" t="str">
        <f t="shared" si="63"/>
        <v/>
      </c>
      <c r="DR53" s="82" t="str">
        <f t="shared" si="64"/>
        <v/>
      </c>
      <c r="DS53" s="253" t="str">
        <f t="shared" si="65"/>
        <v/>
      </c>
      <c r="DT53" s="250">
        <f t="shared" si="66"/>
        <v>8.6999999999999993</v>
      </c>
      <c r="DU53" s="238">
        <f t="shared" si="67"/>
        <v>7.9</v>
      </c>
      <c r="DV53" s="238">
        <f t="shared" si="68"/>
        <v>7</v>
      </c>
      <c r="DW53" s="238">
        <f t="shared" si="69"/>
        <v>7.8</v>
      </c>
      <c r="DX53" s="238">
        <f t="shared" si="70"/>
        <v>7.3</v>
      </c>
      <c r="DY53" s="238" t="str">
        <f t="shared" si="71"/>
        <v/>
      </c>
      <c r="DZ53" s="238" t="str">
        <f t="shared" si="72"/>
        <v/>
      </c>
      <c r="EA53" s="238" t="str">
        <f t="shared" si="73"/>
        <v/>
      </c>
      <c r="EB53" s="238" t="str">
        <f t="shared" si="74"/>
        <v/>
      </c>
      <c r="EC53" s="238">
        <f t="shared" si="75"/>
        <v>8.1999999999999993</v>
      </c>
      <c r="ED53" s="238">
        <f t="shared" si="76"/>
        <v>9</v>
      </c>
      <c r="EE53" s="238">
        <f t="shared" si="77"/>
        <v>8.8000000000000007</v>
      </c>
      <c r="EF53" s="255" t="str">
        <f t="shared" si="78"/>
        <v/>
      </c>
      <c r="EG53" s="257">
        <f t="shared" si="79"/>
        <v>8.6999999999999993</v>
      </c>
      <c r="EH53" s="257">
        <f t="shared" si="80"/>
        <v>7.9</v>
      </c>
      <c r="EI53" s="257">
        <f t="shared" si="81"/>
        <v>7</v>
      </c>
      <c r="EJ53" s="257">
        <f t="shared" si="82"/>
        <v>7.8</v>
      </c>
      <c r="EK53" s="257">
        <f t="shared" si="83"/>
        <v>7.3</v>
      </c>
      <c r="EL53" s="257" t="str">
        <f t="shared" si="84"/>
        <v/>
      </c>
      <c r="EM53" s="257" t="str">
        <f t="shared" si="85"/>
        <v/>
      </c>
      <c r="EN53" s="257" t="str">
        <f t="shared" si="86"/>
        <v/>
      </c>
      <c r="EO53" s="257" t="str">
        <f t="shared" si="87"/>
        <v/>
      </c>
      <c r="EP53" s="257">
        <f t="shared" si="88"/>
        <v>8.1999999999999993</v>
      </c>
      <c r="EQ53" s="257">
        <f t="shared" si="89"/>
        <v>9</v>
      </c>
      <c r="ER53" s="257">
        <f t="shared" si="90"/>
        <v>8.8000000000000007</v>
      </c>
      <c r="ES53" s="262">
        <f t="shared" si="102"/>
        <v>8.08</v>
      </c>
      <c r="ET53" s="307">
        <f t="shared" si="91"/>
        <v>8.08</v>
      </c>
      <c r="EX53" s="89"/>
    </row>
    <row r="54" spans="1:154" s="90" customFormat="1" ht="30" customHeight="1">
      <c r="A54" s="272">
        <f>IF($B54="","",SUBTOTAL(3,$B$11:B54))</f>
        <v>44</v>
      </c>
      <c r="B54" s="457" t="s">
        <v>1608</v>
      </c>
      <c r="C54" s="76" t="str">
        <f>IF($B54="","",VLOOKUP($B54,'DS LOP HKI'!$B$2:$D$951,2,0))</f>
        <v>Nguyễn Khắc</v>
      </c>
      <c r="D54" s="77" t="str">
        <f>IF($B54="","",VLOOKUP($B54,'DS LOP HKI'!$B$2:$D$951,3,0))</f>
        <v>Thành</v>
      </c>
      <c r="E54" s="78"/>
      <c r="F54" s="79"/>
      <c r="G54" s="80">
        <v>1</v>
      </c>
      <c r="H54" s="81">
        <f>IF(OR($H$6="",$H$7=""),"",IF($B54="","",IF(ISNA(VLOOKUP($B54,'LT01'!$B$11:$M$80,12,FALSE)),"",IF(VLOOKUP($B54,'LT01'!$B$11:$M$80,12,FALSE)="","",VLOOKUP($B54,'LT01'!$B$11:$M$80,12,FALSE)))))</f>
        <v>7</v>
      </c>
      <c r="I54" s="82">
        <f>IF(OR($H$6="",$H$7=""),"",IF($B54="","",IF(ISNA(VLOOKUP($B54,'LT01'!$B$11:$N$80,13,FALSE)),"",VLOOKUP($B54,'LT01'!$B$11:$N$80,13,FALSE))))</f>
        <v>7</v>
      </c>
      <c r="J54" s="83"/>
      <c r="K54" s="84" t="str">
        <f>IF(OR($H$6="",$H$7=""),"",IF($B54="","",IF(ISNA(VLOOKUP($B54,'LT01'!$B$11:$Q$80,16,FALSE)),"",IF(VLOOKUP($B54,'LT01'!$B$11:$Q$80,16,FALSE)="","",VLOOKUP($B54,'LT01'!$B$11:$Q$80,16,FALSE)))))</f>
        <v/>
      </c>
      <c r="L54" s="85">
        <f>IF(OR($L$6="",$L$7=""),"",IF($B54="","",IF(ISNA(VLOOKUP($B54,'LT02'!$B$11:$M$80,12,FALSE)),"",IF(VLOOKUP($B54,'LT02'!$B$11:$M$80,12,FALSE)="","",VLOOKUP($B54,'LT02'!$B$11:$M$80,12,FALSE)))))</f>
        <v>6</v>
      </c>
      <c r="M54" s="82">
        <f>IF(OR($L$6="",$L$7=""),"",IF($B54="","",IF(ISNA(VLOOKUP($B54,'LT02'!$B$11:$N$80,13,FALSE)),"",VLOOKUP($B54,'LT02'!$B$11:$N$80,13,FALSE))))</f>
        <v>6.5</v>
      </c>
      <c r="N54" s="83"/>
      <c r="O54" s="84" t="str">
        <f>IF(OR($L$6="",$L$7=""),"",IF($B54="","",IF(ISNA(VLOOKUP($B54,'LT02'!$B$11:$Q$80,16,FALSE)),"",VLOOKUP($B54,'LT02'!$B$11:$Q$80,16,FALSE))))</f>
        <v/>
      </c>
      <c r="P54" s="85">
        <f>IF(OR($P$6="",$P$7=""),"",IF($B54="","",IF(ISNA(VLOOKUP($B54,'LT03'!$B$11:$M$80,12,FALSE)),"",IF(VLOOKUP($B54,'LT03'!$B$11:$M$80,12,FALSE)="","",VLOOKUP($B54,'LT03'!$B$11:$M$80,12,FALSE)))))</f>
        <v>4.3</v>
      </c>
      <c r="Q54" s="82">
        <f>IF(OR($P$6="",$P$7=""),"",IF($B54="","",IF(ISNA(VLOOKUP($B54,'LT03'!$B$11:$N$80,13,FALSE)),"",VLOOKUP($B54,'LT03'!$B$11:$N$80,13,FALSE))))</f>
        <v>4.9000000000000004</v>
      </c>
      <c r="R54" s="83"/>
      <c r="S54" s="84" t="str">
        <f>IF(OR($P$6="",$P$7=""),"",IF($B54="","",IF(ISNA(VLOOKUP($B54,'LT03'!$B$11:$Q$80,16,FALSE)),"",VLOOKUP($B54,'LT03'!$B$11:$Q$80,16,FALSE))))</f>
        <v/>
      </c>
      <c r="T54" s="85">
        <f>IF(OR($T$6="",$T$7=""),"",IF($B54="","",IF(ISNA(VLOOKUP($B54,'LT04'!$B$11:$M$80,12,FALSE)),"",IF(VLOOKUP($B54,'LT04'!$B$11:$M$80,12,FALSE)="","",VLOOKUP($B54,'LT04'!$B$11:$M$80,12,FALSE)))))</f>
        <v>2.5</v>
      </c>
      <c r="U54" s="82">
        <f>IF(OR($T$6="",$T$7=""),"",IF($B54="","",IF(ISNA(VLOOKUP($B54,'LT04'!$B$11:$N$80,13,FALSE)),"",VLOOKUP($B54,'LT04'!$B$11:$N$80,13,FALSE))))</f>
        <v>4.8</v>
      </c>
      <c r="V54" s="83"/>
      <c r="W54" s="84" t="str">
        <f>IF(OR($T$6="",$T$7=""),"",IF($B54="","",IF(ISNA(VLOOKUP($B54,'LT04'!$B$11:$Q$80,16,FALSE)),"",VLOOKUP($B54,'LT04'!$B$11:$Q$80,16,FALSE))))</f>
        <v/>
      </c>
      <c r="X54" s="85">
        <f>IF(OR($X$6="",$X$7=""),"",IF($B54="","",IF(ISNA(VLOOKUP($B54,'LT05'!$B$11:$M$80,12,FALSE)),"",IF(VLOOKUP($B54,'LT05'!$B$11:$M$80,12,FALSE)="","",VLOOKUP($B54,'LT05'!$B$11:$M$80,12,FALSE)))))</f>
        <v>3.8</v>
      </c>
      <c r="Y54" s="82">
        <f>IF(OR($X$6="",$X$7=""),"",IF($B54="","",IF(ISNA(VLOOKUP($B54,'LT05'!$B$11:$N$80,13,FALSE)),"",VLOOKUP($B54,'LT05'!$B$11:$N$80,13,FALSE))))</f>
        <v>4.9000000000000004</v>
      </c>
      <c r="Z54" s="83"/>
      <c r="AA54" s="84" t="str">
        <f>IF(OR($X$6="",$X$7=""),"",IF($B54="","",IF(ISNA(VLOOKUP($B54,'LT05'!$B$11:$Q$80,16,FALSE)),"",VLOOKUP($B54,'LT05'!$B$11:$Q$80,16,FALSE))))</f>
        <v/>
      </c>
      <c r="AB54" s="85" t="str">
        <f>IF(OR($AB$6="",$AB$7=""),"",IF($B54="","",IF(ISNA(VLOOKUP($B54,'LT06'!$B$11:$M$80,12,FALSE)),"",IF(VLOOKUP($B54,'LT06'!$B$11:$M$80,12,FALSE)="","",VLOOKUP($B54,'LT06'!$B$11:$M$80,12,FALSE)))))</f>
        <v/>
      </c>
      <c r="AC54" s="82" t="str">
        <f>IF(OR($AB$6="",$AB$7=""),"",IF($B54="","",IF(ISNA(VLOOKUP($B54,'LT06'!$B$11:$N$80,13,FALSE)),"",VLOOKUP($B54,'LT06'!$B$11:$N$80,13,FALSE))))</f>
        <v/>
      </c>
      <c r="AD54" s="83"/>
      <c r="AE54" s="84" t="str">
        <f>IF(OR($AB$6="",$AB$7=""),"",IF($B54="","",IF(ISNA(VLOOKUP($B54,'LT06'!$B$11:$Q$80,16,FALSE)),"",VLOOKUP($B54,'LT06'!$B$11:$Q$80,16,FALSE))))</f>
        <v/>
      </c>
      <c r="AF54" s="85" t="str">
        <f>IF(OR($AF$6="",$AF$7=""),"",IF($B54="","",IF(ISNA(VLOOKUP($B54,'LT07'!$B$11:$M$80,12,FALSE)),"",IF(VLOOKUP($B54,'LT07'!$B$11:$M$80,12,FALSE)="","",VLOOKUP($B54,'LT07'!$B$11:$M$80,12,FALSE)))))</f>
        <v/>
      </c>
      <c r="AG54" s="82" t="str">
        <f>IF(OR($AF$6="",$AF$7=""),"",IF($B54="","",IF(ISNA(VLOOKUP($B54,'LT07'!$B$11:$N$80,13,FALSE)),"",VLOOKUP($B54,'LT07'!$B$11:$N$80,13,FALSE))))</f>
        <v/>
      </c>
      <c r="AH54" s="83"/>
      <c r="AI54" s="84" t="str">
        <f>IF(OR($AF$6="",$AF$7=""),"",IF($B54="","",IF(ISNA(VLOOKUP($B54,'LT07'!$B$11:$Q$80,16,FALSE)),"",VLOOKUP($B54,'LT07'!$B$11:$Q$80,16,FALSE))))</f>
        <v/>
      </c>
      <c r="AJ54" s="304"/>
      <c r="AK54" s="82" t="str">
        <f>IF(OR($AJ$6="",$AJ$7=""),"",IF($B54="","",IF(ISNA(VLOOKUP($B54,'DO AN'!$B$11:$L$80,11,FALSE)),"",IF(VLOOKUP($B54,'DO AN'!$B$11:$L$80,11,FALSE)="","",VLOOKUP($B54,'DO AN'!$B$11:$L$80,11,FALSE)))))</f>
        <v/>
      </c>
      <c r="AL54" s="83"/>
      <c r="AM54" s="451"/>
      <c r="AN54" s="83"/>
      <c r="AO54" s="82" t="str">
        <f>IF(OR($AN$6="",$AN$7=""),"",IF($B54="","",IF(ISNA(VLOOKUP($B54,'DO AN 2'!$B$11:$L$80,11,FALSE)),"",IF(VLOOKUP($B54,'DO AN 2'!$B$11:$L$80,11,FALSE)="","",VLOOKUP($B54,'DO AN 2'!$B$11:$L$80,11,FALSE)))))</f>
        <v/>
      </c>
      <c r="AP54" s="83"/>
      <c r="AQ54" s="83"/>
      <c r="AR54" s="454"/>
      <c r="AS54" s="82">
        <f>IF(OR($AR$6="",$AR$7=""),"",IF($B54="","",IF(ISNA(VLOOKUP($B54,'TH01'!$B$11:$O$80,14,FALSE)),"",VLOOKUP($B54,'TH01'!$B$11:$O$80,14,FALSE))))</f>
        <v>6.6</v>
      </c>
      <c r="AT54" s="83"/>
      <c r="AU54" s="303"/>
      <c r="AV54" s="304"/>
      <c r="AW54" s="82">
        <f>IF(OR($AV$6="",$AV$7=""),"",IF($B54="","",IF(ISNA(VLOOKUP($B54,'TH02'!$B$11:$O$80,14,FALSE)),"",VLOOKUP($B54,'TH02'!$B$11:$O$80,14,FALSE))))</f>
        <v>5.3</v>
      </c>
      <c r="AX54" s="83"/>
      <c r="AY54" s="303"/>
      <c r="AZ54" s="304"/>
      <c r="BA54" s="82">
        <f>IF(OR($AZ$6="",$AZ$7=""),"",IF($B54="","",IF(ISNA(VLOOKUP($B54,'TH03'!$B$11:$O$80,14,FALSE)),"",VLOOKUP($B54,'TH03'!$B$11:$O$80,14,FALSE))))</f>
        <v>6.3</v>
      </c>
      <c r="BB54" s="83"/>
      <c r="BC54" s="303"/>
      <c r="BD54" s="86">
        <f t="shared" si="11"/>
        <v>5.81</v>
      </c>
      <c r="BE54" s="86" t="str">
        <f t="shared" si="12"/>
        <v/>
      </c>
      <c r="BF54" s="87">
        <v>60</v>
      </c>
      <c r="BG54" s="88" t="str">
        <f t="shared" si="92"/>
        <v>T.Bình</v>
      </c>
      <c r="BH54" s="88" t="str">
        <f t="shared" si="93"/>
        <v/>
      </c>
      <c r="BI54" s="87"/>
      <c r="BJ54" s="86" t="str">
        <f t="shared" si="94"/>
        <v/>
      </c>
      <c r="BK54" s="265">
        <f t="shared" si="95"/>
        <v>18</v>
      </c>
      <c r="BL54" s="88">
        <f t="shared" si="96"/>
        <v>0</v>
      </c>
      <c r="BM54" s="88">
        <f t="shared" si="97"/>
        <v>18</v>
      </c>
      <c r="BN54" s="88">
        <f t="shared" si="98"/>
        <v>0</v>
      </c>
      <c r="BO54" s="86">
        <f t="shared" si="13"/>
        <v>5.81</v>
      </c>
      <c r="BP54" s="86" t="str">
        <f t="shared" si="99"/>
        <v>BT</v>
      </c>
      <c r="BQ54" s="86">
        <f t="shared" si="14"/>
        <v>5.81</v>
      </c>
      <c r="BR54" s="86" t="str">
        <f t="shared" si="100"/>
        <v>BT</v>
      </c>
      <c r="BS54" s="87"/>
      <c r="BT54" s="276">
        <f t="shared" si="15"/>
        <v>3</v>
      </c>
      <c r="BU54" s="238">
        <f t="shared" si="16"/>
        <v>7</v>
      </c>
      <c r="BV54" s="238">
        <f t="shared" si="17"/>
        <v>6</v>
      </c>
      <c r="BW54" s="238">
        <f t="shared" si="18"/>
        <v>4.3</v>
      </c>
      <c r="BX54" s="238">
        <f t="shared" si="19"/>
        <v>2.5</v>
      </c>
      <c r="BY54" s="238">
        <f t="shared" si="20"/>
        <v>3.8</v>
      </c>
      <c r="BZ54" s="238" t="str">
        <f t="shared" si="21"/>
        <v/>
      </c>
      <c r="CA54" s="238" t="str">
        <f t="shared" si="22"/>
        <v/>
      </c>
      <c r="CB54" s="238" t="str">
        <f t="shared" si="23"/>
        <v/>
      </c>
      <c r="CC54" s="238" t="str">
        <f t="shared" si="24"/>
        <v/>
      </c>
      <c r="CD54" s="238">
        <f t="shared" si="25"/>
        <v>6.6</v>
      </c>
      <c r="CE54" s="238">
        <f t="shared" si="26"/>
        <v>5.3</v>
      </c>
      <c r="CF54" s="238">
        <f t="shared" si="27"/>
        <v>6.3</v>
      </c>
      <c r="CG54" s="239">
        <f t="shared" si="28"/>
        <v>0</v>
      </c>
      <c r="CH54" s="238">
        <f t="shared" si="29"/>
        <v>7</v>
      </c>
      <c r="CI54" s="238">
        <f t="shared" si="30"/>
        <v>6.5</v>
      </c>
      <c r="CJ54" s="238">
        <f t="shared" si="31"/>
        <v>4.9000000000000004</v>
      </c>
      <c r="CK54" s="238">
        <f t="shared" si="32"/>
        <v>4.8</v>
      </c>
      <c r="CL54" s="238">
        <f t="shared" si="33"/>
        <v>4.9000000000000004</v>
      </c>
      <c r="CM54" s="238" t="str">
        <f t="shared" si="34"/>
        <v/>
      </c>
      <c r="CN54" s="238" t="str">
        <f t="shared" si="35"/>
        <v/>
      </c>
      <c r="CO54" s="238" t="str">
        <f t="shared" si="36"/>
        <v/>
      </c>
      <c r="CP54" s="238" t="str">
        <f t="shared" si="37"/>
        <v/>
      </c>
      <c r="CQ54" s="238">
        <f t="shared" si="38"/>
        <v>6.6</v>
      </c>
      <c r="CR54" s="238">
        <f t="shared" si="39"/>
        <v>5.3</v>
      </c>
      <c r="CS54" s="238">
        <f t="shared" si="40"/>
        <v>6.3</v>
      </c>
      <c r="CT54" s="240">
        <f t="shared" si="41"/>
        <v>5.81</v>
      </c>
      <c r="CU54" s="241">
        <f t="shared" si="42"/>
        <v>7</v>
      </c>
      <c r="CV54" s="241">
        <f t="shared" si="43"/>
        <v>6.5</v>
      </c>
      <c r="CW54" s="241">
        <f t="shared" si="44"/>
        <v>4.9000000000000004</v>
      </c>
      <c r="CX54" s="241">
        <f t="shared" si="45"/>
        <v>4.8</v>
      </c>
      <c r="CY54" s="241">
        <f t="shared" si="46"/>
        <v>4.9000000000000004</v>
      </c>
      <c r="CZ54" s="241" t="str">
        <f t="shared" si="47"/>
        <v/>
      </c>
      <c r="DA54" s="241" t="str">
        <f t="shared" si="48"/>
        <v/>
      </c>
      <c r="DB54" s="241" t="str">
        <f t="shared" si="49"/>
        <v/>
      </c>
      <c r="DC54" s="241" t="str">
        <f t="shared" si="50"/>
        <v/>
      </c>
      <c r="DD54" s="241">
        <f t="shared" si="51"/>
        <v>6.6</v>
      </c>
      <c r="DE54" s="241">
        <f t="shared" si="52"/>
        <v>5.3</v>
      </c>
      <c r="DF54" s="241">
        <f t="shared" si="53"/>
        <v>6.3</v>
      </c>
      <c r="DG54" s="242">
        <f t="shared" si="101"/>
        <v>5.81</v>
      </c>
      <c r="DH54" s="82" t="str">
        <f t="shared" si="54"/>
        <v/>
      </c>
      <c r="DI54" s="82" t="str">
        <f t="shared" si="55"/>
        <v/>
      </c>
      <c r="DJ54" s="82" t="str">
        <f t="shared" si="56"/>
        <v/>
      </c>
      <c r="DK54" s="82" t="str">
        <f t="shared" si="57"/>
        <v/>
      </c>
      <c r="DL54" s="82" t="str">
        <f t="shared" si="58"/>
        <v/>
      </c>
      <c r="DM54" s="82" t="str">
        <f t="shared" si="59"/>
        <v/>
      </c>
      <c r="DN54" s="82" t="str">
        <f t="shared" si="60"/>
        <v/>
      </c>
      <c r="DO54" s="82" t="str">
        <f t="shared" si="61"/>
        <v/>
      </c>
      <c r="DP54" s="82" t="str">
        <f t="shared" si="62"/>
        <v/>
      </c>
      <c r="DQ54" s="82" t="str">
        <f t="shared" si="63"/>
        <v/>
      </c>
      <c r="DR54" s="82" t="str">
        <f t="shared" si="64"/>
        <v/>
      </c>
      <c r="DS54" s="253" t="str">
        <f t="shared" si="65"/>
        <v/>
      </c>
      <c r="DT54" s="250">
        <f t="shared" si="66"/>
        <v>7</v>
      </c>
      <c r="DU54" s="238">
        <f t="shared" si="67"/>
        <v>6.5</v>
      </c>
      <c r="DV54" s="238">
        <f t="shared" si="68"/>
        <v>4.9000000000000004</v>
      </c>
      <c r="DW54" s="238">
        <f t="shared" si="69"/>
        <v>4.8</v>
      </c>
      <c r="DX54" s="238">
        <f t="shared" si="70"/>
        <v>4.9000000000000004</v>
      </c>
      <c r="DY54" s="238" t="str">
        <f t="shared" si="71"/>
        <v/>
      </c>
      <c r="DZ54" s="238" t="str">
        <f t="shared" si="72"/>
        <v/>
      </c>
      <c r="EA54" s="238" t="str">
        <f t="shared" si="73"/>
        <v/>
      </c>
      <c r="EB54" s="238" t="str">
        <f t="shared" si="74"/>
        <v/>
      </c>
      <c r="EC54" s="238">
        <f t="shared" si="75"/>
        <v>6.6</v>
      </c>
      <c r="ED54" s="238">
        <f t="shared" si="76"/>
        <v>5.3</v>
      </c>
      <c r="EE54" s="238">
        <f t="shared" si="77"/>
        <v>6.3</v>
      </c>
      <c r="EF54" s="255" t="str">
        <f t="shared" si="78"/>
        <v/>
      </c>
      <c r="EG54" s="257">
        <f t="shared" si="79"/>
        <v>7</v>
      </c>
      <c r="EH54" s="257">
        <f t="shared" si="80"/>
        <v>6.5</v>
      </c>
      <c r="EI54" s="257">
        <f t="shared" si="81"/>
        <v>4.9000000000000004</v>
      </c>
      <c r="EJ54" s="257">
        <f t="shared" si="82"/>
        <v>4.8</v>
      </c>
      <c r="EK54" s="257">
        <f t="shared" si="83"/>
        <v>4.9000000000000004</v>
      </c>
      <c r="EL54" s="257" t="str">
        <f t="shared" si="84"/>
        <v/>
      </c>
      <c r="EM54" s="257" t="str">
        <f t="shared" si="85"/>
        <v/>
      </c>
      <c r="EN54" s="257" t="str">
        <f t="shared" si="86"/>
        <v/>
      </c>
      <c r="EO54" s="257" t="str">
        <f t="shared" si="87"/>
        <v/>
      </c>
      <c r="EP54" s="257">
        <f t="shared" si="88"/>
        <v>6.6</v>
      </c>
      <c r="EQ54" s="257">
        <f t="shared" si="89"/>
        <v>5.3</v>
      </c>
      <c r="ER54" s="257">
        <f t="shared" si="90"/>
        <v>6.3</v>
      </c>
      <c r="ES54" s="262">
        <f t="shared" si="102"/>
        <v>5.81</v>
      </c>
      <c r="ET54" s="307">
        <f t="shared" si="91"/>
        <v>5.81</v>
      </c>
      <c r="EX54" s="89"/>
    </row>
    <row r="55" spans="1:154" s="90" customFormat="1" ht="30" customHeight="1">
      <c r="A55" s="272">
        <f>IF($B55="","",SUBTOTAL(3,$B$11:B55))</f>
        <v>45</v>
      </c>
      <c r="B55" s="457" t="s">
        <v>1612</v>
      </c>
      <c r="C55" s="76" t="str">
        <f>IF($B55="","",VLOOKUP($B55,'DS LOP HKI'!$B$2:$D$951,2,0))</f>
        <v>Nguyễn Thanh</v>
      </c>
      <c r="D55" s="77" t="str">
        <f>IF($B55="","",VLOOKUP($B55,'DS LOP HKI'!$B$2:$D$951,3,0))</f>
        <v>Thảo</v>
      </c>
      <c r="E55" s="78"/>
      <c r="F55" s="79"/>
      <c r="G55" s="80">
        <v>4</v>
      </c>
      <c r="H55" s="81">
        <f>IF(OR($H$6="",$H$7=""),"",IF($B55="","",IF(ISNA(VLOOKUP($B55,'LT01'!$B$11:$M$80,12,FALSE)),"",IF(VLOOKUP($B55,'LT01'!$B$11:$M$80,12,FALSE)="","",VLOOKUP($B55,'LT01'!$B$11:$M$80,12,FALSE)))))</f>
        <v>4</v>
      </c>
      <c r="I55" s="82">
        <f>IF(OR($H$6="",$H$7=""),"",IF($B55="","",IF(ISNA(VLOOKUP($B55,'LT01'!$B$11:$N$80,13,FALSE)),"",VLOOKUP($B55,'LT01'!$B$11:$N$80,13,FALSE))))</f>
        <v>5.6</v>
      </c>
      <c r="J55" s="83"/>
      <c r="K55" s="84" t="str">
        <f>IF(OR($H$6="",$H$7=""),"",IF($B55="","",IF(ISNA(VLOOKUP($B55,'LT01'!$B$11:$Q$80,16,FALSE)),"",IF(VLOOKUP($B55,'LT01'!$B$11:$Q$80,16,FALSE)="","",VLOOKUP($B55,'LT01'!$B$11:$Q$80,16,FALSE)))))</f>
        <v/>
      </c>
      <c r="L55" s="85">
        <f>IF(OR($L$6="",$L$7=""),"",IF($B55="","",IF(ISNA(VLOOKUP($B55,'LT02'!$B$11:$M$80,12,FALSE)),"",IF(VLOOKUP($B55,'LT02'!$B$11:$M$80,12,FALSE)="","",VLOOKUP($B55,'LT02'!$B$11:$M$80,12,FALSE)))))</f>
        <v>8</v>
      </c>
      <c r="M55" s="82">
        <f>IF(OR($L$6="",$L$7=""),"",IF($B55="","",IF(ISNA(VLOOKUP($B55,'LT02'!$B$11:$N$80,13,FALSE)),"",VLOOKUP($B55,'LT02'!$B$11:$N$80,13,FALSE))))</f>
        <v>6.3</v>
      </c>
      <c r="N55" s="83"/>
      <c r="O55" s="84" t="str">
        <f>IF(OR($L$6="",$L$7=""),"",IF($B55="","",IF(ISNA(VLOOKUP($B55,'LT02'!$B$11:$Q$80,16,FALSE)),"",VLOOKUP($B55,'LT02'!$B$11:$Q$80,16,FALSE))))</f>
        <v/>
      </c>
      <c r="P55" s="85">
        <f>IF(OR($P$6="",$P$7=""),"",IF($B55="","",IF(ISNA(VLOOKUP($B55,'LT03'!$B$11:$M$80,12,FALSE)),"",IF(VLOOKUP($B55,'LT03'!$B$11:$M$80,12,FALSE)="","",VLOOKUP($B55,'LT03'!$B$11:$M$80,12,FALSE)))))</f>
        <v>5.5</v>
      </c>
      <c r="Q55" s="82">
        <f>IF(OR($P$6="",$P$7=""),"",IF($B55="","",IF(ISNA(VLOOKUP($B55,'LT03'!$B$11:$N$80,13,FALSE)),"",VLOOKUP($B55,'LT03'!$B$11:$N$80,13,FALSE))))</f>
        <v>5.0999999999999996</v>
      </c>
      <c r="R55" s="83"/>
      <c r="S55" s="84" t="str">
        <f>IF(OR($P$6="",$P$7=""),"",IF($B55="","",IF(ISNA(VLOOKUP($B55,'LT03'!$B$11:$Q$80,16,FALSE)),"",VLOOKUP($B55,'LT03'!$B$11:$Q$80,16,FALSE))))</f>
        <v/>
      </c>
      <c r="T55" s="85">
        <f>IF(OR($T$6="",$T$7=""),"",IF($B55="","",IF(ISNA(VLOOKUP($B55,'LT04'!$B$11:$M$80,12,FALSE)),"",IF(VLOOKUP($B55,'LT04'!$B$11:$M$80,12,FALSE)="","",VLOOKUP($B55,'LT04'!$B$11:$M$80,12,FALSE)))))</f>
        <v>6</v>
      </c>
      <c r="U55" s="82">
        <f>IF(OR($T$6="",$T$7=""),"",IF($B55="","",IF(ISNA(VLOOKUP($B55,'LT04'!$B$11:$N$80,13,FALSE)),"",VLOOKUP($B55,'LT04'!$B$11:$N$80,13,FALSE))))</f>
        <v>5.8</v>
      </c>
      <c r="V55" s="83"/>
      <c r="W55" s="84" t="str">
        <f>IF(OR($T$6="",$T$7=""),"",IF($B55="","",IF(ISNA(VLOOKUP($B55,'LT04'!$B$11:$Q$80,16,FALSE)),"",VLOOKUP($B55,'LT04'!$B$11:$Q$80,16,FALSE))))</f>
        <v/>
      </c>
      <c r="X55" s="85">
        <f>IF(OR($X$6="",$X$7=""),"",IF($B55="","",IF(ISNA(VLOOKUP($B55,'LT05'!$B$11:$M$80,12,FALSE)),"",IF(VLOOKUP($B55,'LT05'!$B$11:$M$80,12,FALSE)="","",VLOOKUP($B55,'LT05'!$B$11:$M$80,12,FALSE)))))</f>
        <v>2.8</v>
      </c>
      <c r="Y55" s="82">
        <f>IF(OR($X$6="",$X$7=""),"",IF($B55="","",IF(ISNA(VLOOKUP($B55,'LT05'!$B$11:$N$80,13,FALSE)),"",VLOOKUP($B55,'LT05'!$B$11:$N$80,13,FALSE))))</f>
        <v>3.6</v>
      </c>
      <c r="Z55" s="83"/>
      <c r="AA55" s="84" t="str">
        <f>IF(OR($X$6="",$X$7=""),"",IF($B55="","",IF(ISNA(VLOOKUP($B55,'LT05'!$B$11:$Q$80,16,FALSE)),"",VLOOKUP($B55,'LT05'!$B$11:$Q$80,16,FALSE))))</f>
        <v/>
      </c>
      <c r="AB55" s="85" t="str">
        <f>IF(OR($AB$6="",$AB$7=""),"",IF($B55="","",IF(ISNA(VLOOKUP($B55,'LT06'!$B$11:$M$80,12,FALSE)),"",IF(VLOOKUP($B55,'LT06'!$B$11:$M$80,12,FALSE)="","",VLOOKUP($B55,'LT06'!$B$11:$M$80,12,FALSE)))))</f>
        <v/>
      </c>
      <c r="AC55" s="82" t="str">
        <f>IF(OR($AB$6="",$AB$7=""),"",IF($B55="","",IF(ISNA(VLOOKUP($B55,'LT06'!$B$11:$N$80,13,FALSE)),"",VLOOKUP($B55,'LT06'!$B$11:$N$80,13,FALSE))))</f>
        <v/>
      </c>
      <c r="AD55" s="83"/>
      <c r="AE55" s="84" t="str">
        <f>IF(OR($AB$6="",$AB$7=""),"",IF($B55="","",IF(ISNA(VLOOKUP($B55,'LT06'!$B$11:$Q$80,16,FALSE)),"",VLOOKUP($B55,'LT06'!$B$11:$Q$80,16,FALSE))))</f>
        <v/>
      </c>
      <c r="AF55" s="85" t="str">
        <f>IF(OR($AF$6="",$AF$7=""),"",IF($B55="","",IF(ISNA(VLOOKUP($B55,'LT07'!$B$11:$M$80,12,FALSE)),"",IF(VLOOKUP($B55,'LT07'!$B$11:$M$80,12,FALSE)="","",VLOOKUP($B55,'LT07'!$B$11:$M$80,12,FALSE)))))</f>
        <v/>
      </c>
      <c r="AG55" s="82" t="str">
        <f>IF(OR($AF$6="",$AF$7=""),"",IF($B55="","",IF(ISNA(VLOOKUP($B55,'LT07'!$B$11:$N$80,13,FALSE)),"",VLOOKUP($B55,'LT07'!$B$11:$N$80,13,FALSE))))</f>
        <v/>
      </c>
      <c r="AH55" s="83"/>
      <c r="AI55" s="84" t="str">
        <f>IF(OR($AF$6="",$AF$7=""),"",IF($B55="","",IF(ISNA(VLOOKUP($B55,'LT07'!$B$11:$Q$80,16,FALSE)),"",VLOOKUP($B55,'LT07'!$B$11:$Q$80,16,FALSE))))</f>
        <v/>
      </c>
      <c r="AJ55" s="304"/>
      <c r="AK55" s="82" t="str">
        <f>IF(OR($AJ$6="",$AJ$7=""),"",IF($B55="","",IF(ISNA(VLOOKUP($B55,'DO AN'!$B$11:$L$80,11,FALSE)),"",IF(VLOOKUP($B55,'DO AN'!$B$11:$L$80,11,FALSE)="","",VLOOKUP($B55,'DO AN'!$B$11:$L$80,11,FALSE)))))</f>
        <v/>
      </c>
      <c r="AL55" s="83"/>
      <c r="AM55" s="451"/>
      <c r="AN55" s="83"/>
      <c r="AO55" s="82" t="str">
        <f>IF(OR($AN$6="",$AN$7=""),"",IF($B55="","",IF(ISNA(VLOOKUP($B55,'DO AN 2'!$B$11:$L$80,11,FALSE)),"",IF(VLOOKUP($B55,'DO AN 2'!$B$11:$L$80,11,FALSE)="","",VLOOKUP($B55,'DO AN 2'!$B$11:$L$80,11,FALSE)))))</f>
        <v/>
      </c>
      <c r="AP55" s="83"/>
      <c r="AQ55" s="83"/>
      <c r="AR55" s="454"/>
      <c r="AS55" s="82">
        <f>IF(OR($AR$6="",$AR$7=""),"",IF($B55="","",IF(ISNA(VLOOKUP($B55,'TH01'!$B$11:$O$80,14,FALSE)),"",VLOOKUP($B55,'TH01'!$B$11:$O$80,14,FALSE))))</f>
        <v>5</v>
      </c>
      <c r="AT55" s="83"/>
      <c r="AU55" s="303"/>
      <c r="AV55" s="304"/>
      <c r="AW55" s="82">
        <f>IF(OR($AV$6="",$AV$7=""),"",IF($B55="","",IF(ISNA(VLOOKUP($B55,'TH02'!$B$11:$O$80,14,FALSE)),"",VLOOKUP($B55,'TH02'!$B$11:$O$80,14,FALSE))))</f>
        <v>5.8</v>
      </c>
      <c r="AX55" s="83"/>
      <c r="AY55" s="303"/>
      <c r="AZ55" s="304"/>
      <c r="BA55" s="82">
        <f>IF(OR($AZ$6="",$AZ$7=""),"",IF($B55="","",IF(ISNA(VLOOKUP($B55,'TH03'!$B$11:$O$80,14,FALSE)),"",VLOOKUP($B55,'TH03'!$B$11:$O$80,14,FALSE))))</f>
        <v>6.3</v>
      </c>
      <c r="BB55" s="83"/>
      <c r="BC55" s="303"/>
      <c r="BD55" s="86">
        <f t="shared" si="11"/>
        <v>5.34</v>
      </c>
      <c r="BE55" s="86" t="str">
        <f t="shared" si="12"/>
        <v/>
      </c>
      <c r="BF55" s="87">
        <v>55</v>
      </c>
      <c r="BG55" s="88" t="str">
        <f t="shared" si="92"/>
        <v>TB Yếu</v>
      </c>
      <c r="BH55" s="88" t="str">
        <f t="shared" si="93"/>
        <v/>
      </c>
      <c r="BI55" s="87"/>
      <c r="BJ55" s="86" t="str">
        <f t="shared" si="94"/>
        <v/>
      </c>
      <c r="BK55" s="265">
        <f t="shared" si="95"/>
        <v>15</v>
      </c>
      <c r="BL55" s="88">
        <f t="shared" si="96"/>
        <v>3</v>
      </c>
      <c r="BM55" s="88">
        <f t="shared" si="97"/>
        <v>15</v>
      </c>
      <c r="BN55" s="88">
        <f t="shared" si="98"/>
        <v>3</v>
      </c>
      <c r="BO55" s="86">
        <f t="shared" si="13"/>
        <v>5.69</v>
      </c>
      <c r="BP55" s="86" t="str">
        <f t="shared" si="99"/>
        <v>BT</v>
      </c>
      <c r="BQ55" s="86">
        <f t="shared" si="14"/>
        <v>5.69</v>
      </c>
      <c r="BR55" s="86" t="str">
        <f t="shared" si="100"/>
        <v>BT</v>
      </c>
      <c r="BS55" s="87"/>
      <c r="BT55" s="276">
        <f t="shared" si="15"/>
        <v>2</v>
      </c>
      <c r="BU55" s="238">
        <f t="shared" si="16"/>
        <v>4</v>
      </c>
      <c r="BV55" s="238">
        <f t="shared" si="17"/>
        <v>8</v>
      </c>
      <c r="BW55" s="238">
        <f t="shared" si="18"/>
        <v>5.5</v>
      </c>
      <c r="BX55" s="238">
        <f t="shared" si="19"/>
        <v>6</v>
      </c>
      <c r="BY55" s="238">
        <f t="shared" si="20"/>
        <v>2.8</v>
      </c>
      <c r="BZ55" s="238" t="str">
        <f t="shared" si="21"/>
        <v/>
      </c>
      <c r="CA55" s="238" t="str">
        <f t="shared" si="22"/>
        <v/>
      </c>
      <c r="CB55" s="238" t="str">
        <f t="shared" si="23"/>
        <v/>
      </c>
      <c r="CC55" s="238" t="str">
        <f t="shared" si="24"/>
        <v/>
      </c>
      <c r="CD55" s="238">
        <f t="shared" si="25"/>
        <v>5</v>
      </c>
      <c r="CE55" s="238">
        <f t="shared" si="26"/>
        <v>5.8</v>
      </c>
      <c r="CF55" s="238">
        <f t="shared" si="27"/>
        <v>6.3</v>
      </c>
      <c r="CG55" s="239">
        <f t="shared" si="28"/>
        <v>1</v>
      </c>
      <c r="CH55" s="238">
        <f t="shared" si="29"/>
        <v>5.6</v>
      </c>
      <c r="CI55" s="238">
        <f t="shared" si="30"/>
        <v>6.3</v>
      </c>
      <c r="CJ55" s="238">
        <f t="shared" si="31"/>
        <v>5.0999999999999996</v>
      </c>
      <c r="CK55" s="238">
        <f t="shared" si="32"/>
        <v>5.8</v>
      </c>
      <c r="CL55" s="238">
        <f t="shared" si="33"/>
        <v>3.6</v>
      </c>
      <c r="CM55" s="238" t="str">
        <f t="shared" si="34"/>
        <v/>
      </c>
      <c r="CN55" s="238" t="str">
        <f t="shared" si="35"/>
        <v/>
      </c>
      <c r="CO55" s="238" t="str">
        <f t="shared" si="36"/>
        <v/>
      </c>
      <c r="CP55" s="238" t="str">
        <f t="shared" si="37"/>
        <v/>
      </c>
      <c r="CQ55" s="238">
        <f t="shared" si="38"/>
        <v>5</v>
      </c>
      <c r="CR55" s="238">
        <f t="shared" si="39"/>
        <v>5.8</v>
      </c>
      <c r="CS55" s="238">
        <f t="shared" si="40"/>
        <v>6.3</v>
      </c>
      <c r="CT55" s="240">
        <f t="shared" si="41"/>
        <v>5.34</v>
      </c>
      <c r="CU55" s="241">
        <f t="shared" si="42"/>
        <v>5.6</v>
      </c>
      <c r="CV55" s="241">
        <f t="shared" si="43"/>
        <v>6.3</v>
      </c>
      <c r="CW55" s="241">
        <f t="shared" si="44"/>
        <v>5.0999999999999996</v>
      </c>
      <c r="CX55" s="241">
        <f t="shared" si="45"/>
        <v>5.8</v>
      </c>
      <c r="CY55" s="241" t="str">
        <f t="shared" si="46"/>
        <v/>
      </c>
      <c r="CZ55" s="241" t="str">
        <f t="shared" si="47"/>
        <v/>
      </c>
      <c r="DA55" s="241" t="str">
        <f t="shared" si="48"/>
        <v/>
      </c>
      <c r="DB55" s="241" t="str">
        <f t="shared" si="49"/>
        <v/>
      </c>
      <c r="DC55" s="241" t="str">
        <f t="shared" si="50"/>
        <v/>
      </c>
      <c r="DD55" s="241">
        <f t="shared" si="51"/>
        <v>5</v>
      </c>
      <c r="DE55" s="241">
        <f t="shared" si="52"/>
        <v>5.8</v>
      </c>
      <c r="DF55" s="241">
        <f t="shared" si="53"/>
        <v>6.3</v>
      </c>
      <c r="DG55" s="242">
        <f t="shared" si="101"/>
        <v>5.69</v>
      </c>
      <c r="DH55" s="82" t="str">
        <f t="shared" si="54"/>
        <v/>
      </c>
      <c r="DI55" s="82" t="str">
        <f t="shared" si="55"/>
        <v/>
      </c>
      <c r="DJ55" s="82" t="str">
        <f t="shared" si="56"/>
        <v/>
      </c>
      <c r="DK55" s="82" t="str">
        <f t="shared" si="57"/>
        <v/>
      </c>
      <c r="DL55" s="82" t="str">
        <f t="shared" si="58"/>
        <v/>
      </c>
      <c r="DM55" s="82" t="str">
        <f t="shared" si="59"/>
        <v/>
      </c>
      <c r="DN55" s="82" t="str">
        <f t="shared" si="60"/>
        <v/>
      </c>
      <c r="DO55" s="82" t="str">
        <f t="shared" si="61"/>
        <v/>
      </c>
      <c r="DP55" s="82" t="str">
        <f t="shared" si="62"/>
        <v/>
      </c>
      <c r="DQ55" s="82" t="str">
        <f t="shared" si="63"/>
        <v/>
      </c>
      <c r="DR55" s="82" t="str">
        <f t="shared" si="64"/>
        <v/>
      </c>
      <c r="DS55" s="253" t="str">
        <f t="shared" si="65"/>
        <v/>
      </c>
      <c r="DT55" s="250">
        <f t="shared" si="66"/>
        <v>5.6</v>
      </c>
      <c r="DU55" s="238">
        <f t="shared" si="67"/>
        <v>6.3</v>
      </c>
      <c r="DV55" s="238">
        <f t="shared" si="68"/>
        <v>5.0999999999999996</v>
      </c>
      <c r="DW55" s="238">
        <f t="shared" si="69"/>
        <v>5.8</v>
      </c>
      <c r="DX55" s="238">
        <f t="shared" si="70"/>
        <v>3.6</v>
      </c>
      <c r="DY55" s="238" t="str">
        <f t="shared" si="71"/>
        <v/>
      </c>
      <c r="DZ55" s="238" t="str">
        <f t="shared" si="72"/>
        <v/>
      </c>
      <c r="EA55" s="238" t="str">
        <f t="shared" si="73"/>
        <v/>
      </c>
      <c r="EB55" s="238" t="str">
        <f t="shared" si="74"/>
        <v/>
      </c>
      <c r="EC55" s="238">
        <f t="shared" si="75"/>
        <v>5</v>
      </c>
      <c r="ED55" s="238">
        <f t="shared" si="76"/>
        <v>5.8</v>
      </c>
      <c r="EE55" s="238">
        <f t="shared" si="77"/>
        <v>6.3</v>
      </c>
      <c r="EF55" s="255" t="str">
        <f t="shared" si="78"/>
        <v/>
      </c>
      <c r="EG55" s="257">
        <f t="shared" si="79"/>
        <v>5.6</v>
      </c>
      <c r="EH55" s="257">
        <f t="shared" si="80"/>
        <v>6.3</v>
      </c>
      <c r="EI55" s="257">
        <f t="shared" si="81"/>
        <v>5.0999999999999996</v>
      </c>
      <c r="EJ55" s="257">
        <f t="shared" si="82"/>
        <v>5.8</v>
      </c>
      <c r="EK55" s="257" t="str">
        <f t="shared" si="83"/>
        <v/>
      </c>
      <c r="EL55" s="257" t="str">
        <f t="shared" si="84"/>
        <v/>
      </c>
      <c r="EM55" s="257" t="str">
        <f t="shared" si="85"/>
        <v/>
      </c>
      <c r="EN55" s="257" t="str">
        <f t="shared" si="86"/>
        <v/>
      </c>
      <c r="EO55" s="257" t="str">
        <f t="shared" si="87"/>
        <v/>
      </c>
      <c r="EP55" s="257">
        <f t="shared" si="88"/>
        <v>5</v>
      </c>
      <c r="EQ55" s="257">
        <f t="shared" si="89"/>
        <v>5.8</v>
      </c>
      <c r="ER55" s="257">
        <f t="shared" si="90"/>
        <v>6.3</v>
      </c>
      <c r="ES55" s="262">
        <f t="shared" si="102"/>
        <v>5.69</v>
      </c>
      <c r="ET55" s="307">
        <f t="shared" si="91"/>
        <v>5.34</v>
      </c>
      <c r="EX55" s="89"/>
    </row>
    <row r="56" spans="1:154" s="90" customFormat="1" ht="30" customHeight="1">
      <c r="A56" s="272">
        <f>IF($B56="","",SUBTOTAL(3,$B$11:B56))</f>
        <v>46</v>
      </c>
      <c r="B56" s="457" t="s">
        <v>1613</v>
      </c>
      <c r="C56" s="76" t="str">
        <f>IF($B56="","",VLOOKUP($B56,'DS LOP HKI'!$B$2:$D$951,2,0))</f>
        <v>Võ Đức</v>
      </c>
      <c r="D56" s="77" t="str">
        <f>IF($B56="","",VLOOKUP($B56,'DS LOP HKI'!$B$2:$D$951,3,0))</f>
        <v>Trí</v>
      </c>
      <c r="E56" s="78"/>
      <c r="F56" s="79"/>
      <c r="G56" s="80">
        <v>2</v>
      </c>
      <c r="H56" s="81">
        <f>IF(OR($H$6="",$H$7=""),"",IF($B56="","",IF(ISNA(VLOOKUP($B56,'LT01'!$B$11:$M$80,12,FALSE)),"",IF(VLOOKUP($B56,'LT01'!$B$11:$M$80,12,FALSE)="","",VLOOKUP($B56,'LT01'!$B$11:$M$80,12,FALSE)))))</f>
        <v>7</v>
      </c>
      <c r="I56" s="82">
        <f>IF(OR($H$6="",$H$7=""),"",IF($B56="","",IF(ISNA(VLOOKUP($B56,'LT01'!$B$11:$N$80,13,FALSE)),"",VLOOKUP($B56,'LT01'!$B$11:$N$80,13,FALSE))))</f>
        <v>6.8</v>
      </c>
      <c r="J56" s="83"/>
      <c r="K56" s="84" t="str">
        <f>IF(OR($H$6="",$H$7=""),"",IF($B56="","",IF(ISNA(VLOOKUP($B56,'LT01'!$B$11:$Q$80,16,FALSE)),"",IF(VLOOKUP($B56,'LT01'!$B$11:$Q$80,16,FALSE)="","",VLOOKUP($B56,'LT01'!$B$11:$Q$80,16,FALSE)))))</f>
        <v/>
      </c>
      <c r="L56" s="85">
        <f>IF(OR($L$6="",$L$7=""),"",IF($B56="","",IF(ISNA(VLOOKUP($B56,'LT02'!$B$11:$M$80,12,FALSE)),"",IF(VLOOKUP($B56,'LT02'!$B$11:$M$80,12,FALSE)="","",VLOOKUP($B56,'LT02'!$B$11:$M$80,12,FALSE)))))</f>
        <v>5.5</v>
      </c>
      <c r="M56" s="82">
        <f>IF(OR($L$6="",$L$7=""),"",IF($B56="","",IF(ISNA(VLOOKUP($B56,'LT02'!$B$11:$N$80,13,FALSE)),"",VLOOKUP($B56,'LT02'!$B$11:$N$80,13,FALSE))))</f>
        <v>5.0999999999999996</v>
      </c>
      <c r="N56" s="83"/>
      <c r="O56" s="84" t="str">
        <f>IF(OR($L$6="",$L$7=""),"",IF($B56="","",IF(ISNA(VLOOKUP($B56,'LT02'!$B$11:$Q$80,16,FALSE)),"",VLOOKUP($B56,'LT02'!$B$11:$Q$80,16,FALSE))))</f>
        <v/>
      </c>
      <c r="P56" s="85">
        <f>IF(OR($P$6="",$P$7=""),"",IF($B56="","",IF(ISNA(VLOOKUP($B56,'LT03'!$B$11:$M$80,12,FALSE)),"",IF(VLOOKUP($B56,'LT03'!$B$11:$M$80,12,FALSE)="","",VLOOKUP($B56,'LT03'!$B$11:$M$80,12,FALSE)))))</f>
        <v>4.3</v>
      </c>
      <c r="Q56" s="82">
        <f>IF(OR($P$6="",$P$7=""),"",IF($B56="","",IF(ISNA(VLOOKUP($B56,'LT03'!$B$11:$N$80,13,FALSE)),"",VLOOKUP($B56,'LT03'!$B$11:$N$80,13,FALSE))))</f>
        <v>5.2</v>
      </c>
      <c r="R56" s="83"/>
      <c r="S56" s="84" t="str">
        <f>IF(OR($P$6="",$P$7=""),"",IF($B56="","",IF(ISNA(VLOOKUP($B56,'LT03'!$B$11:$Q$80,16,FALSE)),"",VLOOKUP($B56,'LT03'!$B$11:$Q$80,16,FALSE))))</f>
        <v/>
      </c>
      <c r="T56" s="85">
        <f>IF(OR($T$6="",$T$7=""),"",IF($B56="","",IF(ISNA(VLOOKUP($B56,'LT04'!$B$11:$M$80,12,FALSE)),"",IF(VLOOKUP($B56,'LT04'!$B$11:$M$80,12,FALSE)="","",VLOOKUP($B56,'LT04'!$B$11:$M$80,12,FALSE)))))</f>
        <v>4.3</v>
      </c>
      <c r="U56" s="82">
        <f>IF(OR($T$6="",$T$7=""),"",IF($B56="","",IF(ISNA(VLOOKUP($B56,'LT04'!$B$11:$N$80,13,FALSE)),"",VLOOKUP($B56,'LT04'!$B$11:$N$80,13,FALSE))))</f>
        <v>5.4</v>
      </c>
      <c r="V56" s="83"/>
      <c r="W56" s="84" t="str">
        <f>IF(OR($T$6="",$T$7=""),"",IF($B56="","",IF(ISNA(VLOOKUP($B56,'LT04'!$B$11:$Q$80,16,FALSE)),"",VLOOKUP($B56,'LT04'!$B$11:$Q$80,16,FALSE))))</f>
        <v/>
      </c>
      <c r="X56" s="85">
        <f>IF(OR($X$6="",$X$7=""),"",IF($B56="","",IF(ISNA(VLOOKUP($B56,'LT05'!$B$11:$M$80,12,FALSE)),"",IF(VLOOKUP($B56,'LT05'!$B$11:$M$80,12,FALSE)="","",VLOOKUP($B56,'LT05'!$B$11:$M$80,12,FALSE)))))</f>
        <v>2.5</v>
      </c>
      <c r="Y56" s="82">
        <f>IF(OR($X$6="",$X$7=""),"",IF($B56="","",IF(ISNA(VLOOKUP($B56,'LT05'!$B$11:$N$80,13,FALSE)),"",VLOOKUP($B56,'LT05'!$B$11:$N$80,13,FALSE))))</f>
        <v>3.4</v>
      </c>
      <c r="Z56" s="83"/>
      <c r="AA56" s="84" t="str">
        <f>IF(OR($X$6="",$X$7=""),"",IF($B56="","",IF(ISNA(VLOOKUP($B56,'LT05'!$B$11:$Q$80,16,FALSE)),"",VLOOKUP($B56,'LT05'!$B$11:$Q$80,16,FALSE))))</f>
        <v/>
      </c>
      <c r="AB56" s="85" t="str">
        <f>IF(OR($AB$6="",$AB$7=""),"",IF($B56="","",IF(ISNA(VLOOKUP($B56,'LT06'!$B$11:$M$80,12,FALSE)),"",IF(VLOOKUP($B56,'LT06'!$B$11:$M$80,12,FALSE)="","",VLOOKUP($B56,'LT06'!$B$11:$M$80,12,FALSE)))))</f>
        <v/>
      </c>
      <c r="AC56" s="82" t="str">
        <f>IF(OR($AB$6="",$AB$7=""),"",IF($B56="","",IF(ISNA(VLOOKUP($B56,'LT06'!$B$11:$N$80,13,FALSE)),"",VLOOKUP($B56,'LT06'!$B$11:$N$80,13,FALSE))))</f>
        <v/>
      </c>
      <c r="AD56" s="83"/>
      <c r="AE56" s="84" t="str">
        <f>IF(OR($AB$6="",$AB$7=""),"",IF($B56="","",IF(ISNA(VLOOKUP($B56,'LT06'!$B$11:$Q$80,16,FALSE)),"",VLOOKUP($B56,'LT06'!$B$11:$Q$80,16,FALSE))))</f>
        <v/>
      </c>
      <c r="AF56" s="85" t="str">
        <f>IF(OR($AF$6="",$AF$7=""),"",IF($B56="","",IF(ISNA(VLOOKUP($B56,'LT07'!$B$11:$M$80,12,FALSE)),"",IF(VLOOKUP($B56,'LT07'!$B$11:$M$80,12,FALSE)="","",VLOOKUP($B56,'LT07'!$B$11:$M$80,12,FALSE)))))</f>
        <v/>
      </c>
      <c r="AG56" s="82" t="str">
        <f>IF(OR($AF$6="",$AF$7=""),"",IF($B56="","",IF(ISNA(VLOOKUP($B56,'LT07'!$B$11:$N$80,13,FALSE)),"",VLOOKUP($B56,'LT07'!$B$11:$N$80,13,FALSE))))</f>
        <v/>
      </c>
      <c r="AH56" s="83"/>
      <c r="AI56" s="84" t="str">
        <f>IF(OR($AF$6="",$AF$7=""),"",IF($B56="","",IF(ISNA(VLOOKUP($B56,'LT07'!$B$11:$Q$80,16,FALSE)),"",VLOOKUP($B56,'LT07'!$B$11:$Q$80,16,FALSE))))</f>
        <v/>
      </c>
      <c r="AJ56" s="304"/>
      <c r="AK56" s="82" t="str">
        <f>IF(OR($AJ$6="",$AJ$7=""),"",IF($B56="","",IF(ISNA(VLOOKUP($B56,'DO AN'!$B$11:$L$80,11,FALSE)),"",IF(VLOOKUP($B56,'DO AN'!$B$11:$L$80,11,FALSE)="","",VLOOKUP($B56,'DO AN'!$B$11:$L$80,11,FALSE)))))</f>
        <v/>
      </c>
      <c r="AL56" s="83"/>
      <c r="AM56" s="451"/>
      <c r="AN56" s="83"/>
      <c r="AO56" s="82" t="str">
        <f>IF(OR($AN$6="",$AN$7=""),"",IF($B56="","",IF(ISNA(VLOOKUP($B56,'DO AN 2'!$B$11:$L$80,11,FALSE)),"",IF(VLOOKUP($B56,'DO AN 2'!$B$11:$L$80,11,FALSE)="","",VLOOKUP($B56,'DO AN 2'!$B$11:$L$80,11,FALSE)))))</f>
        <v/>
      </c>
      <c r="AP56" s="83"/>
      <c r="AQ56" s="83"/>
      <c r="AR56" s="454"/>
      <c r="AS56" s="82">
        <f>IF(OR($AR$6="",$AR$7=""),"",IF($B56="","",IF(ISNA(VLOOKUP($B56,'TH01'!$B$11:$O$80,14,FALSE)),"",VLOOKUP($B56,'TH01'!$B$11:$O$80,14,FALSE))))</f>
        <v>5</v>
      </c>
      <c r="AT56" s="83"/>
      <c r="AU56" s="303"/>
      <c r="AV56" s="304"/>
      <c r="AW56" s="82">
        <f>IF(OR($AV$6="",$AV$7=""),"",IF($B56="","",IF(ISNA(VLOOKUP($B56,'TH02'!$B$11:$O$80,14,FALSE)),"",VLOOKUP($B56,'TH02'!$B$11:$O$80,14,FALSE))))</f>
        <v>6</v>
      </c>
      <c r="AX56" s="83"/>
      <c r="AY56" s="303"/>
      <c r="AZ56" s="304"/>
      <c r="BA56" s="82">
        <f>IF(OR($AZ$6="",$AZ$7=""),"",IF($B56="","",IF(ISNA(VLOOKUP($B56,'TH03'!$B$11:$O$80,14,FALSE)),"",VLOOKUP($B56,'TH03'!$B$11:$O$80,14,FALSE))))</f>
        <v>6.8</v>
      </c>
      <c r="BB56" s="83"/>
      <c r="BC56" s="303"/>
      <c r="BD56" s="86">
        <f t="shared" si="11"/>
        <v>5.42</v>
      </c>
      <c r="BE56" s="86" t="str">
        <f t="shared" si="12"/>
        <v/>
      </c>
      <c r="BF56" s="87">
        <v>58</v>
      </c>
      <c r="BG56" s="88" t="str">
        <f t="shared" si="92"/>
        <v>TB Yếu</v>
      </c>
      <c r="BH56" s="88" t="str">
        <f t="shared" si="93"/>
        <v/>
      </c>
      <c r="BI56" s="87"/>
      <c r="BJ56" s="86" t="str">
        <f t="shared" si="94"/>
        <v/>
      </c>
      <c r="BK56" s="265">
        <f t="shared" si="95"/>
        <v>15</v>
      </c>
      <c r="BL56" s="88">
        <f t="shared" si="96"/>
        <v>3</v>
      </c>
      <c r="BM56" s="88">
        <f t="shared" si="97"/>
        <v>15</v>
      </c>
      <c r="BN56" s="88">
        <f t="shared" si="98"/>
        <v>3</v>
      </c>
      <c r="BO56" s="86">
        <f t="shared" si="13"/>
        <v>5.83</v>
      </c>
      <c r="BP56" s="86" t="str">
        <f t="shared" si="99"/>
        <v>BT</v>
      </c>
      <c r="BQ56" s="86">
        <f t="shared" si="14"/>
        <v>5.83</v>
      </c>
      <c r="BR56" s="86" t="str">
        <f t="shared" si="100"/>
        <v>BT</v>
      </c>
      <c r="BS56" s="87"/>
      <c r="BT56" s="276">
        <f t="shared" si="15"/>
        <v>3</v>
      </c>
      <c r="BU56" s="238">
        <f t="shared" si="16"/>
        <v>7</v>
      </c>
      <c r="BV56" s="238">
        <f t="shared" si="17"/>
        <v>5.5</v>
      </c>
      <c r="BW56" s="238">
        <f t="shared" si="18"/>
        <v>4.3</v>
      </c>
      <c r="BX56" s="238">
        <f t="shared" si="19"/>
        <v>4.3</v>
      </c>
      <c r="BY56" s="238">
        <f t="shared" si="20"/>
        <v>2.5</v>
      </c>
      <c r="BZ56" s="238" t="str">
        <f t="shared" si="21"/>
        <v/>
      </c>
      <c r="CA56" s="238" t="str">
        <f t="shared" si="22"/>
        <v/>
      </c>
      <c r="CB56" s="238" t="str">
        <f t="shared" si="23"/>
        <v/>
      </c>
      <c r="CC56" s="238" t="str">
        <f t="shared" si="24"/>
        <v/>
      </c>
      <c r="CD56" s="238">
        <f t="shared" si="25"/>
        <v>5</v>
      </c>
      <c r="CE56" s="238">
        <f t="shared" si="26"/>
        <v>6</v>
      </c>
      <c r="CF56" s="238">
        <f t="shared" si="27"/>
        <v>6.8</v>
      </c>
      <c r="CG56" s="239">
        <f t="shared" si="28"/>
        <v>1</v>
      </c>
      <c r="CH56" s="238">
        <f t="shared" si="29"/>
        <v>6.8</v>
      </c>
      <c r="CI56" s="238">
        <f t="shared" si="30"/>
        <v>5.0999999999999996</v>
      </c>
      <c r="CJ56" s="238">
        <f t="shared" si="31"/>
        <v>5.2</v>
      </c>
      <c r="CK56" s="238">
        <f t="shared" si="32"/>
        <v>5.4</v>
      </c>
      <c r="CL56" s="238">
        <f t="shared" si="33"/>
        <v>3.4</v>
      </c>
      <c r="CM56" s="238" t="str">
        <f t="shared" si="34"/>
        <v/>
      </c>
      <c r="CN56" s="238" t="str">
        <f t="shared" si="35"/>
        <v/>
      </c>
      <c r="CO56" s="238" t="str">
        <f t="shared" si="36"/>
        <v/>
      </c>
      <c r="CP56" s="238" t="str">
        <f t="shared" si="37"/>
        <v/>
      </c>
      <c r="CQ56" s="238">
        <f t="shared" si="38"/>
        <v>5</v>
      </c>
      <c r="CR56" s="238">
        <f t="shared" si="39"/>
        <v>6</v>
      </c>
      <c r="CS56" s="238">
        <f t="shared" si="40"/>
        <v>6.8</v>
      </c>
      <c r="CT56" s="240">
        <f t="shared" si="41"/>
        <v>5.42</v>
      </c>
      <c r="CU56" s="241">
        <f t="shared" si="42"/>
        <v>6.8</v>
      </c>
      <c r="CV56" s="241">
        <f t="shared" si="43"/>
        <v>5.0999999999999996</v>
      </c>
      <c r="CW56" s="241">
        <f t="shared" si="44"/>
        <v>5.2</v>
      </c>
      <c r="CX56" s="241">
        <f t="shared" si="45"/>
        <v>5.4</v>
      </c>
      <c r="CY56" s="241" t="str">
        <f t="shared" si="46"/>
        <v/>
      </c>
      <c r="CZ56" s="241" t="str">
        <f t="shared" si="47"/>
        <v/>
      </c>
      <c r="DA56" s="241" t="str">
        <f t="shared" si="48"/>
        <v/>
      </c>
      <c r="DB56" s="241" t="str">
        <f t="shared" si="49"/>
        <v/>
      </c>
      <c r="DC56" s="241" t="str">
        <f t="shared" si="50"/>
        <v/>
      </c>
      <c r="DD56" s="241">
        <f t="shared" si="51"/>
        <v>5</v>
      </c>
      <c r="DE56" s="241">
        <f t="shared" si="52"/>
        <v>6</v>
      </c>
      <c r="DF56" s="241">
        <f t="shared" si="53"/>
        <v>6.8</v>
      </c>
      <c r="DG56" s="242">
        <f t="shared" si="101"/>
        <v>5.83</v>
      </c>
      <c r="DH56" s="82" t="str">
        <f t="shared" si="54"/>
        <v/>
      </c>
      <c r="DI56" s="82" t="str">
        <f t="shared" si="55"/>
        <v/>
      </c>
      <c r="DJ56" s="82" t="str">
        <f t="shared" si="56"/>
        <v/>
      </c>
      <c r="DK56" s="82" t="str">
        <f t="shared" si="57"/>
        <v/>
      </c>
      <c r="DL56" s="82" t="str">
        <f t="shared" si="58"/>
        <v/>
      </c>
      <c r="DM56" s="82" t="str">
        <f t="shared" si="59"/>
        <v/>
      </c>
      <c r="DN56" s="82" t="str">
        <f t="shared" si="60"/>
        <v/>
      </c>
      <c r="DO56" s="82" t="str">
        <f t="shared" si="61"/>
        <v/>
      </c>
      <c r="DP56" s="82" t="str">
        <f t="shared" si="62"/>
        <v/>
      </c>
      <c r="DQ56" s="82" t="str">
        <f t="shared" si="63"/>
        <v/>
      </c>
      <c r="DR56" s="82" t="str">
        <f t="shared" si="64"/>
        <v/>
      </c>
      <c r="DS56" s="253" t="str">
        <f t="shared" si="65"/>
        <v/>
      </c>
      <c r="DT56" s="250">
        <f t="shared" si="66"/>
        <v>6.8</v>
      </c>
      <c r="DU56" s="238">
        <f t="shared" si="67"/>
        <v>5.0999999999999996</v>
      </c>
      <c r="DV56" s="238">
        <f t="shared" si="68"/>
        <v>5.2</v>
      </c>
      <c r="DW56" s="238">
        <f t="shared" si="69"/>
        <v>5.4</v>
      </c>
      <c r="DX56" s="238">
        <f t="shared" si="70"/>
        <v>3.4</v>
      </c>
      <c r="DY56" s="238" t="str">
        <f t="shared" si="71"/>
        <v/>
      </c>
      <c r="DZ56" s="238" t="str">
        <f t="shared" si="72"/>
        <v/>
      </c>
      <c r="EA56" s="238" t="str">
        <f t="shared" si="73"/>
        <v/>
      </c>
      <c r="EB56" s="238" t="str">
        <f t="shared" si="74"/>
        <v/>
      </c>
      <c r="EC56" s="238">
        <f t="shared" si="75"/>
        <v>5</v>
      </c>
      <c r="ED56" s="238">
        <f t="shared" si="76"/>
        <v>6</v>
      </c>
      <c r="EE56" s="238">
        <f t="shared" si="77"/>
        <v>6.8</v>
      </c>
      <c r="EF56" s="255" t="str">
        <f t="shared" si="78"/>
        <v/>
      </c>
      <c r="EG56" s="257">
        <f t="shared" si="79"/>
        <v>6.8</v>
      </c>
      <c r="EH56" s="257">
        <f t="shared" si="80"/>
        <v>5.0999999999999996</v>
      </c>
      <c r="EI56" s="257">
        <f t="shared" si="81"/>
        <v>5.2</v>
      </c>
      <c r="EJ56" s="257">
        <f t="shared" si="82"/>
        <v>5.4</v>
      </c>
      <c r="EK56" s="257" t="str">
        <f t="shared" si="83"/>
        <v/>
      </c>
      <c r="EL56" s="257" t="str">
        <f t="shared" si="84"/>
        <v/>
      </c>
      <c r="EM56" s="257" t="str">
        <f t="shared" si="85"/>
        <v/>
      </c>
      <c r="EN56" s="257" t="str">
        <f t="shared" si="86"/>
        <v/>
      </c>
      <c r="EO56" s="257" t="str">
        <f t="shared" si="87"/>
        <v/>
      </c>
      <c r="EP56" s="257">
        <f t="shared" si="88"/>
        <v>5</v>
      </c>
      <c r="EQ56" s="257">
        <f t="shared" si="89"/>
        <v>6</v>
      </c>
      <c r="ER56" s="257">
        <f t="shared" si="90"/>
        <v>6.8</v>
      </c>
      <c r="ES56" s="262">
        <f t="shared" si="102"/>
        <v>5.83</v>
      </c>
      <c r="ET56" s="307">
        <f t="shared" si="91"/>
        <v>5.42</v>
      </c>
      <c r="EX56" s="89"/>
    </row>
    <row r="57" spans="1:154" s="90" customFormat="1" ht="30" customHeight="1">
      <c r="A57" s="272">
        <f>IF($B57="","",SUBTOTAL(3,$B$11:B57))</f>
        <v>47</v>
      </c>
      <c r="B57" s="457" t="s">
        <v>1615</v>
      </c>
      <c r="C57" s="76" t="str">
        <f>IF($B57="","",VLOOKUP($B57,'DS LOP HKI'!$B$2:$D$951,2,0))</f>
        <v>Nguyễn Bá</v>
      </c>
      <c r="D57" s="77" t="str">
        <f>IF($B57="","",VLOOKUP($B57,'DS LOP HKI'!$B$2:$D$951,3,0))</f>
        <v>Trung</v>
      </c>
      <c r="E57" s="78"/>
      <c r="F57" s="79"/>
      <c r="G57" s="80"/>
      <c r="H57" s="81">
        <f>IF(OR($H$6="",$H$7=""),"",IF($B57="","",IF(ISNA(VLOOKUP($B57,'LT01'!$B$11:$M$80,12,FALSE)),"",IF(VLOOKUP($B57,'LT01'!$B$11:$M$80,12,FALSE)="","",VLOOKUP($B57,'LT01'!$B$11:$M$80,12,FALSE)))))</f>
        <v>8</v>
      </c>
      <c r="I57" s="82">
        <f>IF(OR($H$6="",$H$7=""),"",IF($B57="","",IF(ISNA(VLOOKUP($B57,'LT01'!$B$11:$N$80,13,FALSE)),"",VLOOKUP($B57,'LT01'!$B$11:$N$80,13,FALSE))))</f>
        <v>7</v>
      </c>
      <c r="J57" s="83"/>
      <c r="K57" s="84" t="str">
        <f>IF(OR($H$6="",$H$7=""),"",IF($B57="","",IF(ISNA(VLOOKUP($B57,'LT01'!$B$11:$Q$80,16,FALSE)),"",IF(VLOOKUP($B57,'LT01'!$B$11:$Q$80,16,FALSE)="","",VLOOKUP($B57,'LT01'!$B$11:$Q$80,16,FALSE)))))</f>
        <v/>
      </c>
      <c r="L57" s="85">
        <f>IF(OR($L$6="",$L$7=""),"",IF($B57="","",IF(ISNA(VLOOKUP($B57,'LT02'!$B$11:$M$80,12,FALSE)),"",IF(VLOOKUP($B57,'LT02'!$B$11:$M$80,12,FALSE)="","",VLOOKUP($B57,'LT02'!$B$11:$M$80,12,FALSE)))))</f>
        <v>8.5</v>
      </c>
      <c r="M57" s="82">
        <f>IF(OR($L$6="",$L$7=""),"",IF($B57="","",IF(ISNA(VLOOKUP($B57,'LT02'!$B$11:$N$80,13,FALSE)),"",VLOOKUP($B57,'LT02'!$B$11:$N$80,13,FALSE))))</f>
        <v>7.8</v>
      </c>
      <c r="N57" s="83"/>
      <c r="O57" s="84" t="str">
        <f>IF(OR($L$6="",$L$7=""),"",IF($B57="","",IF(ISNA(VLOOKUP($B57,'LT02'!$B$11:$Q$80,16,FALSE)),"",VLOOKUP($B57,'LT02'!$B$11:$Q$80,16,FALSE))))</f>
        <v/>
      </c>
      <c r="P57" s="85">
        <f>IF(OR($P$6="",$P$7=""),"",IF($B57="","",IF(ISNA(VLOOKUP($B57,'LT03'!$B$11:$M$80,12,FALSE)),"",IF(VLOOKUP($B57,'LT03'!$B$11:$M$80,12,FALSE)="","",VLOOKUP($B57,'LT03'!$B$11:$M$80,12,FALSE)))))</f>
        <v>5.8</v>
      </c>
      <c r="Q57" s="82">
        <f>IF(OR($P$6="",$P$7=""),"",IF($B57="","",IF(ISNA(VLOOKUP($B57,'LT03'!$B$11:$N$80,13,FALSE)),"",VLOOKUP($B57,'LT03'!$B$11:$N$80,13,FALSE))))</f>
        <v>5.8</v>
      </c>
      <c r="R57" s="83"/>
      <c r="S57" s="84" t="str">
        <f>IF(OR($P$6="",$P$7=""),"",IF($B57="","",IF(ISNA(VLOOKUP($B57,'LT03'!$B$11:$Q$80,16,FALSE)),"",VLOOKUP($B57,'LT03'!$B$11:$Q$80,16,FALSE))))</f>
        <v/>
      </c>
      <c r="T57" s="85">
        <f>IF(OR($T$6="",$T$7=""),"",IF($B57="","",IF(ISNA(VLOOKUP($B57,'LT04'!$B$11:$M$80,12,FALSE)),"",IF(VLOOKUP($B57,'LT04'!$B$11:$M$80,12,FALSE)="","",VLOOKUP($B57,'LT04'!$B$11:$M$80,12,FALSE)))))</f>
        <v>6.8</v>
      </c>
      <c r="U57" s="82">
        <f>IF(OR($T$6="",$T$7=""),"",IF($B57="","",IF(ISNA(VLOOKUP($B57,'LT04'!$B$11:$N$80,13,FALSE)),"",VLOOKUP($B57,'LT04'!$B$11:$N$80,13,FALSE))))</f>
        <v>6.9</v>
      </c>
      <c r="V57" s="83"/>
      <c r="W57" s="84" t="str">
        <f>IF(OR($T$6="",$T$7=""),"",IF($B57="","",IF(ISNA(VLOOKUP($B57,'LT04'!$B$11:$Q$80,16,FALSE)),"",VLOOKUP($B57,'LT04'!$B$11:$Q$80,16,FALSE))))</f>
        <v/>
      </c>
      <c r="X57" s="85">
        <f>IF(OR($X$6="",$X$7=""),"",IF($B57="","",IF(ISNA(VLOOKUP($B57,'LT05'!$B$11:$M$80,12,FALSE)),"",IF(VLOOKUP($B57,'LT05'!$B$11:$M$80,12,FALSE)="","",VLOOKUP($B57,'LT05'!$B$11:$M$80,12,FALSE)))))</f>
        <v>3.5</v>
      </c>
      <c r="Y57" s="82">
        <f>IF(OR($X$6="",$X$7=""),"",IF($B57="","",IF(ISNA(VLOOKUP($B57,'LT05'!$B$11:$N$80,13,FALSE)),"",VLOOKUP($B57,'LT05'!$B$11:$N$80,13,FALSE))))</f>
        <v>4.4000000000000004</v>
      </c>
      <c r="Z57" s="83"/>
      <c r="AA57" s="84" t="str">
        <f>IF(OR($X$6="",$X$7=""),"",IF($B57="","",IF(ISNA(VLOOKUP($B57,'LT05'!$B$11:$Q$80,16,FALSE)),"",VLOOKUP($B57,'LT05'!$B$11:$Q$80,16,FALSE))))</f>
        <v/>
      </c>
      <c r="AB57" s="85" t="str">
        <f>IF(OR($AB$6="",$AB$7=""),"",IF($B57="","",IF(ISNA(VLOOKUP($B57,'LT06'!$B$11:$M$80,12,FALSE)),"",IF(VLOOKUP($B57,'LT06'!$B$11:$M$80,12,FALSE)="","",VLOOKUP($B57,'LT06'!$B$11:$M$80,12,FALSE)))))</f>
        <v/>
      </c>
      <c r="AC57" s="82" t="str">
        <f>IF(OR($AB$6="",$AB$7=""),"",IF($B57="","",IF(ISNA(VLOOKUP($B57,'LT06'!$B$11:$N$80,13,FALSE)),"",VLOOKUP($B57,'LT06'!$B$11:$N$80,13,FALSE))))</f>
        <v/>
      </c>
      <c r="AD57" s="83"/>
      <c r="AE57" s="84" t="str">
        <f>IF(OR($AB$6="",$AB$7=""),"",IF($B57="","",IF(ISNA(VLOOKUP($B57,'LT06'!$B$11:$Q$80,16,FALSE)),"",VLOOKUP($B57,'LT06'!$B$11:$Q$80,16,FALSE))))</f>
        <v/>
      </c>
      <c r="AF57" s="85" t="str">
        <f>IF(OR($AF$6="",$AF$7=""),"",IF($B57="","",IF(ISNA(VLOOKUP($B57,'LT07'!$B$11:$M$80,12,FALSE)),"",IF(VLOOKUP($B57,'LT07'!$B$11:$M$80,12,FALSE)="","",VLOOKUP($B57,'LT07'!$B$11:$M$80,12,FALSE)))))</f>
        <v/>
      </c>
      <c r="AG57" s="82" t="str">
        <f>IF(OR($AF$6="",$AF$7=""),"",IF($B57="","",IF(ISNA(VLOOKUP($B57,'LT07'!$B$11:$N$80,13,FALSE)),"",VLOOKUP($B57,'LT07'!$B$11:$N$80,13,FALSE))))</f>
        <v/>
      </c>
      <c r="AH57" s="83"/>
      <c r="AI57" s="84" t="str">
        <f>IF(OR($AF$6="",$AF$7=""),"",IF($B57="","",IF(ISNA(VLOOKUP($B57,'LT07'!$B$11:$Q$80,16,FALSE)),"",VLOOKUP($B57,'LT07'!$B$11:$Q$80,16,FALSE))))</f>
        <v/>
      </c>
      <c r="AJ57" s="304"/>
      <c r="AK57" s="82" t="str">
        <f>IF(OR($AJ$6="",$AJ$7=""),"",IF($B57="","",IF(ISNA(VLOOKUP($B57,'DO AN'!$B$11:$L$80,11,FALSE)),"",IF(VLOOKUP($B57,'DO AN'!$B$11:$L$80,11,FALSE)="","",VLOOKUP($B57,'DO AN'!$B$11:$L$80,11,FALSE)))))</f>
        <v/>
      </c>
      <c r="AL57" s="83"/>
      <c r="AM57" s="451"/>
      <c r="AN57" s="83"/>
      <c r="AO57" s="82" t="str">
        <f>IF(OR($AN$6="",$AN$7=""),"",IF($B57="","",IF(ISNA(VLOOKUP($B57,'DO AN 2'!$B$11:$L$80,11,FALSE)),"",IF(VLOOKUP($B57,'DO AN 2'!$B$11:$L$80,11,FALSE)="","",VLOOKUP($B57,'DO AN 2'!$B$11:$L$80,11,FALSE)))))</f>
        <v/>
      </c>
      <c r="AP57" s="83"/>
      <c r="AQ57" s="83"/>
      <c r="AR57" s="454"/>
      <c r="AS57" s="82">
        <f>IF(OR($AR$6="",$AR$7=""),"",IF($B57="","",IF(ISNA(VLOOKUP($B57,'TH01'!$B$11:$O$80,14,FALSE)),"",VLOOKUP($B57,'TH01'!$B$11:$O$80,14,FALSE))))</f>
        <v>5</v>
      </c>
      <c r="AT57" s="83"/>
      <c r="AU57" s="303"/>
      <c r="AV57" s="304"/>
      <c r="AW57" s="82">
        <f>IF(OR($AV$6="",$AV$7=""),"",IF($B57="","",IF(ISNA(VLOOKUP($B57,'TH02'!$B$11:$O$80,14,FALSE)),"",VLOOKUP($B57,'TH02'!$B$11:$O$80,14,FALSE))))</f>
        <v>6.3</v>
      </c>
      <c r="AX57" s="83"/>
      <c r="AY57" s="303"/>
      <c r="AZ57" s="304"/>
      <c r="BA57" s="82">
        <f>IF(OR($AZ$6="",$AZ$7=""),"",IF($B57="","",IF(ISNA(VLOOKUP($B57,'TH03'!$B$11:$O$80,14,FALSE)),"",VLOOKUP($B57,'TH03'!$B$11:$O$80,14,FALSE))))</f>
        <v>8.3000000000000007</v>
      </c>
      <c r="BB57" s="83"/>
      <c r="BC57" s="303"/>
      <c r="BD57" s="86">
        <f t="shared" si="11"/>
        <v>6.36</v>
      </c>
      <c r="BE57" s="86" t="str">
        <f t="shared" si="12"/>
        <v/>
      </c>
      <c r="BF57" s="87">
        <v>65</v>
      </c>
      <c r="BG57" s="88" t="str">
        <f t="shared" si="92"/>
        <v>T.Bình</v>
      </c>
      <c r="BH57" s="88" t="str">
        <f t="shared" si="93"/>
        <v/>
      </c>
      <c r="BI57" s="87"/>
      <c r="BJ57" s="86" t="str">
        <f t="shared" si="94"/>
        <v/>
      </c>
      <c r="BK57" s="265">
        <f t="shared" si="95"/>
        <v>18</v>
      </c>
      <c r="BL57" s="88">
        <f t="shared" si="96"/>
        <v>0</v>
      </c>
      <c r="BM57" s="88">
        <f t="shared" si="97"/>
        <v>18</v>
      </c>
      <c r="BN57" s="88">
        <f t="shared" si="98"/>
        <v>0</v>
      </c>
      <c r="BO57" s="86">
        <f t="shared" si="13"/>
        <v>6.36</v>
      </c>
      <c r="BP57" s="86" t="str">
        <f t="shared" si="99"/>
        <v>BT</v>
      </c>
      <c r="BQ57" s="86">
        <f t="shared" si="14"/>
        <v>6.36</v>
      </c>
      <c r="BR57" s="86" t="str">
        <f t="shared" si="100"/>
        <v>BT</v>
      </c>
      <c r="BS57" s="87"/>
      <c r="BT57" s="276">
        <f t="shared" si="15"/>
        <v>1</v>
      </c>
      <c r="BU57" s="238">
        <f t="shared" si="16"/>
        <v>8</v>
      </c>
      <c r="BV57" s="238">
        <f t="shared" si="17"/>
        <v>8.5</v>
      </c>
      <c r="BW57" s="238">
        <f t="shared" si="18"/>
        <v>5.8</v>
      </c>
      <c r="BX57" s="238">
        <f t="shared" si="19"/>
        <v>6.8</v>
      </c>
      <c r="BY57" s="238">
        <f t="shared" si="20"/>
        <v>3.5</v>
      </c>
      <c r="BZ57" s="238" t="str">
        <f t="shared" si="21"/>
        <v/>
      </c>
      <c r="CA57" s="238" t="str">
        <f t="shared" si="22"/>
        <v/>
      </c>
      <c r="CB57" s="238" t="str">
        <f t="shared" si="23"/>
        <v/>
      </c>
      <c r="CC57" s="238" t="str">
        <f t="shared" si="24"/>
        <v/>
      </c>
      <c r="CD57" s="238">
        <f t="shared" si="25"/>
        <v>5</v>
      </c>
      <c r="CE57" s="238">
        <f t="shared" si="26"/>
        <v>6.3</v>
      </c>
      <c r="CF57" s="238">
        <f t="shared" si="27"/>
        <v>8.3000000000000007</v>
      </c>
      <c r="CG57" s="239">
        <f t="shared" si="28"/>
        <v>0</v>
      </c>
      <c r="CH57" s="238">
        <f t="shared" si="29"/>
        <v>7</v>
      </c>
      <c r="CI57" s="238">
        <f t="shared" si="30"/>
        <v>7.8</v>
      </c>
      <c r="CJ57" s="238">
        <f t="shared" si="31"/>
        <v>5.8</v>
      </c>
      <c r="CK57" s="238">
        <f t="shared" si="32"/>
        <v>6.9</v>
      </c>
      <c r="CL57" s="238">
        <f t="shared" si="33"/>
        <v>4.4000000000000004</v>
      </c>
      <c r="CM57" s="238" t="str">
        <f t="shared" si="34"/>
        <v/>
      </c>
      <c r="CN57" s="238" t="str">
        <f t="shared" si="35"/>
        <v/>
      </c>
      <c r="CO57" s="238" t="str">
        <f t="shared" si="36"/>
        <v/>
      </c>
      <c r="CP57" s="238" t="str">
        <f t="shared" si="37"/>
        <v/>
      </c>
      <c r="CQ57" s="238">
        <f t="shared" si="38"/>
        <v>5</v>
      </c>
      <c r="CR57" s="238">
        <f t="shared" si="39"/>
        <v>6.3</v>
      </c>
      <c r="CS57" s="238">
        <f t="shared" si="40"/>
        <v>8.3000000000000007</v>
      </c>
      <c r="CT57" s="240">
        <f t="shared" si="41"/>
        <v>6.36</v>
      </c>
      <c r="CU57" s="241">
        <f t="shared" si="42"/>
        <v>7</v>
      </c>
      <c r="CV57" s="241">
        <f t="shared" si="43"/>
        <v>7.8</v>
      </c>
      <c r="CW57" s="241">
        <f t="shared" si="44"/>
        <v>5.8</v>
      </c>
      <c r="CX57" s="241">
        <f t="shared" si="45"/>
        <v>6.9</v>
      </c>
      <c r="CY57" s="241">
        <f t="shared" si="46"/>
        <v>4.4000000000000004</v>
      </c>
      <c r="CZ57" s="241" t="str">
        <f t="shared" si="47"/>
        <v/>
      </c>
      <c r="DA57" s="241" t="str">
        <f t="shared" si="48"/>
        <v/>
      </c>
      <c r="DB57" s="241" t="str">
        <f t="shared" si="49"/>
        <v/>
      </c>
      <c r="DC57" s="241" t="str">
        <f t="shared" si="50"/>
        <v/>
      </c>
      <c r="DD57" s="241">
        <f t="shared" si="51"/>
        <v>5</v>
      </c>
      <c r="DE57" s="241">
        <f t="shared" si="52"/>
        <v>6.3</v>
      </c>
      <c r="DF57" s="241">
        <f t="shared" si="53"/>
        <v>8.3000000000000007</v>
      </c>
      <c r="DG57" s="242">
        <f t="shared" si="101"/>
        <v>6.36</v>
      </c>
      <c r="DH57" s="82" t="str">
        <f t="shared" si="54"/>
        <v/>
      </c>
      <c r="DI57" s="82" t="str">
        <f t="shared" si="55"/>
        <v/>
      </c>
      <c r="DJ57" s="82" t="str">
        <f t="shared" si="56"/>
        <v/>
      </c>
      <c r="DK57" s="82" t="str">
        <f t="shared" si="57"/>
        <v/>
      </c>
      <c r="DL57" s="82" t="str">
        <f t="shared" si="58"/>
        <v/>
      </c>
      <c r="DM57" s="82" t="str">
        <f t="shared" si="59"/>
        <v/>
      </c>
      <c r="DN57" s="82" t="str">
        <f t="shared" si="60"/>
        <v/>
      </c>
      <c r="DO57" s="82" t="str">
        <f t="shared" si="61"/>
        <v/>
      </c>
      <c r="DP57" s="82" t="str">
        <f t="shared" si="62"/>
        <v/>
      </c>
      <c r="DQ57" s="82" t="str">
        <f t="shared" si="63"/>
        <v/>
      </c>
      <c r="DR57" s="82" t="str">
        <f t="shared" si="64"/>
        <v/>
      </c>
      <c r="DS57" s="253" t="str">
        <f t="shared" si="65"/>
        <v/>
      </c>
      <c r="DT57" s="250">
        <f t="shared" si="66"/>
        <v>7</v>
      </c>
      <c r="DU57" s="238">
        <f t="shared" si="67"/>
        <v>7.8</v>
      </c>
      <c r="DV57" s="238">
        <f t="shared" si="68"/>
        <v>5.8</v>
      </c>
      <c r="DW57" s="238">
        <f t="shared" si="69"/>
        <v>6.9</v>
      </c>
      <c r="DX57" s="238">
        <f t="shared" si="70"/>
        <v>4.4000000000000004</v>
      </c>
      <c r="DY57" s="238" t="str">
        <f t="shared" si="71"/>
        <v/>
      </c>
      <c r="DZ57" s="238" t="str">
        <f t="shared" si="72"/>
        <v/>
      </c>
      <c r="EA57" s="238" t="str">
        <f t="shared" si="73"/>
        <v/>
      </c>
      <c r="EB57" s="238" t="str">
        <f t="shared" si="74"/>
        <v/>
      </c>
      <c r="EC57" s="238">
        <f t="shared" si="75"/>
        <v>5</v>
      </c>
      <c r="ED57" s="238">
        <f t="shared" si="76"/>
        <v>6.3</v>
      </c>
      <c r="EE57" s="238">
        <f t="shared" si="77"/>
        <v>8.3000000000000007</v>
      </c>
      <c r="EF57" s="255" t="str">
        <f t="shared" si="78"/>
        <v/>
      </c>
      <c r="EG57" s="257">
        <f t="shared" si="79"/>
        <v>7</v>
      </c>
      <c r="EH57" s="257">
        <f t="shared" si="80"/>
        <v>7.8</v>
      </c>
      <c r="EI57" s="257">
        <f t="shared" si="81"/>
        <v>5.8</v>
      </c>
      <c r="EJ57" s="257">
        <f t="shared" si="82"/>
        <v>6.9</v>
      </c>
      <c r="EK57" s="257">
        <f t="shared" si="83"/>
        <v>4.4000000000000004</v>
      </c>
      <c r="EL57" s="257" t="str">
        <f t="shared" si="84"/>
        <v/>
      </c>
      <c r="EM57" s="257" t="str">
        <f t="shared" si="85"/>
        <v/>
      </c>
      <c r="EN57" s="257" t="str">
        <f t="shared" si="86"/>
        <v/>
      </c>
      <c r="EO57" s="257" t="str">
        <f t="shared" si="87"/>
        <v/>
      </c>
      <c r="EP57" s="257">
        <f t="shared" si="88"/>
        <v>5</v>
      </c>
      <c r="EQ57" s="257">
        <f t="shared" si="89"/>
        <v>6.3</v>
      </c>
      <c r="ER57" s="257">
        <f t="shared" si="90"/>
        <v>8.3000000000000007</v>
      </c>
      <c r="ES57" s="262">
        <f t="shared" si="102"/>
        <v>6.36</v>
      </c>
      <c r="ET57" s="307">
        <f t="shared" si="91"/>
        <v>6.36</v>
      </c>
      <c r="EX57" s="89"/>
    </row>
    <row r="58" spans="1:154" s="90" customFormat="1" ht="30" customHeight="1">
      <c r="A58" s="272">
        <f>IF($B58="","",SUBTOTAL(3,$B$11:B58))</f>
        <v>48</v>
      </c>
      <c r="B58" s="457" t="s">
        <v>1617</v>
      </c>
      <c r="C58" s="76" t="str">
        <f>IF($B58="","",VLOOKUP($B58,'DS LOP HKI'!$B$2:$D$951,2,0))</f>
        <v>Mai Ngọc</v>
      </c>
      <c r="D58" s="77" t="str">
        <f>IF($B58="","",VLOOKUP($B58,'DS LOP HKI'!$B$2:$D$951,3,0))</f>
        <v>Trước</v>
      </c>
      <c r="E58" s="78"/>
      <c r="F58" s="79"/>
      <c r="G58" s="80"/>
      <c r="H58" s="81">
        <f>IF(OR($H$6="",$H$7=""),"",IF($B58="","",IF(ISNA(VLOOKUP($B58,'LT01'!$B$11:$M$80,12,FALSE)),"",IF(VLOOKUP($B58,'LT01'!$B$11:$M$80,12,FALSE)="","",VLOOKUP($B58,'LT01'!$B$11:$M$80,12,FALSE)))))</f>
        <v>8</v>
      </c>
      <c r="I58" s="82">
        <f>IF(OR($H$6="",$H$7=""),"",IF($B58="","",IF(ISNA(VLOOKUP($B58,'LT01'!$B$11:$N$80,13,FALSE)),"",VLOOKUP($B58,'LT01'!$B$11:$N$80,13,FALSE))))</f>
        <v>7.9</v>
      </c>
      <c r="J58" s="83"/>
      <c r="K58" s="84" t="str">
        <f>IF(OR($H$6="",$H$7=""),"",IF($B58="","",IF(ISNA(VLOOKUP($B58,'LT01'!$B$11:$Q$80,16,FALSE)),"",IF(VLOOKUP($B58,'LT01'!$B$11:$Q$80,16,FALSE)="","",VLOOKUP($B58,'LT01'!$B$11:$Q$80,16,FALSE)))))</f>
        <v/>
      </c>
      <c r="L58" s="85">
        <f>IF(OR($L$6="",$L$7=""),"",IF($B58="","",IF(ISNA(VLOOKUP($B58,'LT02'!$B$11:$M$80,12,FALSE)),"",IF(VLOOKUP($B58,'LT02'!$B$11:$M$80,12,FALSE)="","",VLOOKUP($B58,'LT02'!$B$11:$M$80,12,FALSE)))))</f>
        <v>8</v>
      </c>
      <c r="M58" s="82">
        <f>IF(OR($L$6="",$L$7=""),"",IF($B58="","",IF(ISNA(VLOOKUP($B58,'LT02'!$B$11:$N$80,13,FALSE)),"",VLOOKUP($B58,'LT02'!$B$11:$N$80,13,FALSE))))</f>
        <v>8.1999999999999993</v>
      </c>
      <c r="N58" s="83"/>
      <c r="O58" s="84" t="str">
        <f>IF(OR($L$6="",$L$7=""),"",IF($B58="","",IF(ISNA(VLOOKUP($B58,'LT02'!$B$11:$Q$80,16,FALSE)),"",VLOOKUP($B58,'LT02'!$B$11:$Q$80,16,FALSE))))</f>
        <v/>
      </c>
      <c r="P58" s="85">
        <f>IF(OR($P$6="",$P$7=""),"",IF($B58="","",IF(ISNA(VLOOKUP($B58,'LT03'!$B$11:$M$80,12,FALSE)),"",IF(VLOOKUP($B58,'LT03'!$B$11:$M$80,12,FALSE)="","",VLOOKUP($B58,'LT03'!$B$11:$M$80,12,FALSE)))))</f>
        <v>5</v>
      </c>
      <c r="Q58" s="82">
        <f>IF(OR($P$6="",$P$7=""),"",IF($B58="","",IF(ISNA(VLOOKUP($B58,'LT03'!$B$11:$N$80,13,FALSE)),"",VLOOKUP($B58,'LT03'!$B$11:$N$80,13,FALSE))))</f>
        <v>5.6</v>
      </c>
      <c r="R58" s="83"/>
      <c r="S58" s="84" t="str">
        <f>IF(OR($P$6="",$P$7=""),"",IF($B58="","",IF(ISNA(VLOOKUP($B58,'LT03'!$B$11:$Q$80,16,FALSE)),"",VLOOKUP($B58,'LT03'!$B$11:$Q$80,16,FALSE))))</f>
        <v/>
      </c>
      <c r="T58" s="85">
        <f>IF(OR($T$6="",$T$7=""),"",IF($B58="","",IF(ISNA(VLOOKUP($B58,'LT04'!$B$11:$M$80,12,FALSE)),"",IF(VLOOKUP($B58,'LT04'!$B$11:$M$80,12,FALSE)="","",VLOOKUP($B58,'LT04'!$B$11:$M$80,12,FALSE)))))</f>
        <v>8.3000000000000007</v>
      </c>
      <c r="U58" s="82">
        <f>IF(OR($T$6="",$T$7=""),"",IF($B58="","",IF(ISNA(VLOOKUP($B58,'LT04'!$B$11:$N$80,13,FALSE)),"",VLOOKUP($B58,'LT04'!$B$11:$N$80,13,FALSE))))</f>
        <v>7.8</v>
      </c>
      <c r="V58" s="83"/>
      <c r="W58" s="84" t="str">
        <f>IF(OR($T$6="",$T$7=""),"",IF($B58="","",IF(ISNA(VLOOKUP($B58,'LT04'!$B$11:$Q$80,16,FALSE)),"",VLOOKUP($B58,'LT04'!$B$11:$Q$80,16,FALSE))))</f>
        <v/>
      </c>
      <c r="X58" s="85">
        <f>IF(OR($X$6="",$X$7=""),"",IF($B58="","",IF(ISNA(VLOOKUP($B58,'LT05'!$B$11:$M$80,12,FALSE)),"",IF(VLOOKUP($B58,'LT05'!$B$11:$M$80,12,FALSE)="","",VLOOKUP($B58,'LT05'!$B$11:$M$80,12,FALSE)))))</f>
        <v>5.5</v>
      </c>
      <c r="Y58" s="82">
        <f>IF(OR($X$6="",$X$7=""),"",IF($B58="","",IF(ISNA(VLOOKUP($B58,'LT05'!$B$11:$N$80,13,FALSE)),"",VLOOKUP($B58,'LT05'!$B$11:$N$80,13,FALSE))))</f>
        <v>6</v>
      </c>
      <c r="Z58" s="83"/>
      <c r="AA58" s="84" t="str">
        <f>IF(OR($X$6="",$X$7=""),"",IF($B58="","",IF(ISNA(VLOOKUP($B58,'LT05'!$B$11:$Q$80,16,FALSE)),"",VLOOKUP($B58,'LT05'!$B$11:$Q$80,16,FALSE))))</f>
        <v/>
      </c>
      <c r="AB58" s="85" t="str">
        <f>IF(OR($AB$6="",$AB$7=""),"",IF($B58="","",IF(ISNA(VLOOKUP($B58,'LT06'!$B$11:$M$80,12,FALSE)),"",IF(VLOOKUP($B58,'LT06'!$B$11:$M$80,12,FALSE)="","",VLOOKUP($B58,'LT06'!$B$11:$M$80,12,FALSE)))))</f>
        <v/>
      </c>
      <c r="AC58" s="82" t="str">
        <f>IF(OR($AB$6="",$AB$7=""),"",IF($B58="","",IF(ISNA(VLOOKUP($B58,'LT06'!$B$11:$N$80,13,FALSE)),"",VLOOKUP($B58,'LT06'!$B$11:$N$80,13,FALSE))))</f>
        <v/>
      </c>
      <c r="AD58" s="83"/>
      <c r="AE58" s="84" t="str">
        <f>IF(OR($AB$6="",$AB$7=""),"",IF($B58="","",IF(ISNA(VLOOKUP($B58,'LT06'!$B$11:$Q$80,16,FALSE)),"",VLOOKUP($B58,'LT06'!$B$11:$Q$80,16,FALSE))))</f>
        <v/>
      </c>
      <c r="AF58" s="85" t="str">
        <f>IF(OR($AF$6="",$AF$7=""),"",IF($B58="","",IF(ISNA(VLOOKUP($B58,'LT07'!$B$11:$M$80,12,FALSE)),"",IF(VLOOKUP($B58,'LT07'!$B$11:$M$80,12,FALSE)="","",VLOOKUP($B58,'LT07'!$B$11:$M$80,12,FALSE)))))</f>
        <v/>
      </c>
      <c r="AG58" s="82" t="str">
        <f>IF(OR($AF$6="",$AF$7=""),"",IF($B58="","",IF(ISNA(VLOOKUP($B58,'LT07'!$B$11:$N$80,13,FALSE)),"",VLOOKUP($B58,'LT07'!$B$11:$N$80,13,FALSE))))</f>
        <v/>
      </c>
      <c r="AH58" s="83"/>
      <c r="AI58" s="84" t="str">
        <f>IF(OR($AF$6="",$AF$7=""),"",IF($B58="","",IF(ISNA(VLOOKUP($B58,'LT07'!$B$11:$Q$80,16,FALSE)),"",VLOOKUP($B58,'LT07'!$B$11:$Q$80,16,FALSE))))</f>
        <v/>
      </c>
      <c r="AJ58" s="304"/>
      <c r="AK58" s="82" t="str">
        <f>IF(OR($AJ$6="",$AJ$7=""),"",IF($B58="","",IF(ISNA(VLOOKUP($B58,'DO AN'!$B$11:$L$80,11,FALSE)),"",IF(VLOOKUP($B58,'DO AN'!$B$11:$L$80,11,FALSE)="","",VLOOKUP($B58,'DO AN'!$B$11:$L$80,11,FALSE)))))</f>
        <v/>
      </c>
      <c r="AL58" s="83"/>
      <c r="AM58" s="451"/>
      <c r="AN58" s="83"/>
      <c r="AO58" s="82" t="str">
        <f>IF(OR($AN$6="",$AN$7=""),"",IF($B58="","",IF(ISNA(VLOOKUP($B58,'DO AN 2'!$B$11:$L$80,11,FALSE)),"",IF(VLOOKUP($B58,'DO AN 2'!$B$11:$L$80,11,FALSE)="","",VLOOKUP($B58,'DO AN 2'!$B$11:$L$80,11,FALSE)))))</f>
        <v/>
      </c>
      <c r="AP58" s="83"/>
      <c r="AQ58" s="83"/>
      <c r="AR58" s="454"/>
      <c r="AS58" s="82">
        <f>IF(OR($AR$6="",$AR$7=""),"",IF($B58="","",IF(ISNA(VLOOKUP($B58,'TH01'!$B$11:$O$80,14,FALSE)),"",VLOOKUP($B58,'TH01'!$B$11:$O$80,14,FALSE))))</f>
        <v>6.4</v>
      </c>
      <c r="AT58" s="83"/>
      <c r="AU58" s="303"/>
      <c r="AV58" s="304"/>
      <c r="AW58" s="82">
        <f>IF(OR($AV$6="",$AV$7=""),"",IF($B58="","",IF(ISNA(VLOOKUP($B58,'TH02'!$B$11:$O$80,14,FALSE)),"",VLOOKUP($B58,'TH02'!$B$11:$O$80,14,FALSE))))</f>
        <v>7.8</v>
      </c>
      <c r="AX58" s="83"/>
      <c r="AY58" s="303"/>
      <c r="AZ58" s="304"/>
      <c r="BA58" s="82">
        <f>IF(OR($AZ$6="",$AZ$7=""),"",IF($B58="","",IF(ISNA(VLOOKUP($B58,'TH03'!$B$11:$O$80,14,FALSE)),"",VLOOKUP($B58,'TH03'!$B$11:$O$80,14,FALSE))))</f>
        <v>6.3</v>
      </c>
      <c r="BB58" s="83"/>
      <c r="BC58" s="303"/>
      <c r="BD58" s="86">
        <f t="shared" si="11"/>
        <v>6.99</v>
      </c>
      <c r="BE58" s="86" t="str">
        <f t="shared" si="12"/>
        <v/>
      </c>
      <c r="BF58" s="87">
        <v>60</v>
      </c>
      <c r="BG58" s="88" t="str">
        <f t="shared" si="92"/>
        <v>T.Bình</v>
      </c>
      <c r="BH58" s="88" t="str">
        <f t="shared" si="93"/>
        <v/>
      </c>
      <c r="BI58" s="87"/>
      <c r="BJ58" s="86" t="str">
        <f t="shared" si="94"/>
        <v/>
      </c>
      <c r="BK58" s="265">
        <f t="shared" si="95"/>
        <v>18</v>
      </c>
      <c r="BL58" s="88">
        <f t="shared" si="96"/>
        <v>0</v>
      </c>
      <c r="BM58" s="88">
        <f t="shared" si="97"/>
        <v>18</v>
      </c>
      <c r="BN58" s="88">
        <f t="shared" si="98"/>
        <v>0</v>
      </c>
      <c r="BO58" s="86">
        <f t="shared" si="13"/>
        <v>6.99</v>
      </c>
      <c r="BP58" s="86" t="str">
        <f t="shared" si="99"/>
        <v>BT</v>
      </c>
      <c r="BQ58" s="86">
        <f t="shared" si="14"/>
        <v>6.99</v>
      </c>
      <c r="BR58" s="86" t="str">
        <f t="shared" si="100"/>
        <v>BT</v>
      </c>
      <c r="BS58" s="87"/>
      <c r="BT58" s="276">
        <f t="shared" si="15"/>
        <v>0</v>
      </c>
      <c r="BU58" s="238">
        <f t="shared" si="16"/>
        <v>8</v>
      </c>
      <c r="BV58" s="238">
        <f t="shared" si="17"/>
        <v>8</v>
      </c>
      <c r="BW58" s="238">
        <f t="shared" si="18"/>
        <v>5</v>
      </c>
      <c r="BX58" s="238">
        <f t="shared" si="19"/>
        <v>8.3000000000000007</v>
      </c>
      <c r="BY58" s="238">
        <f t="shared" si="20"/>
        <v>5.5</v>
      </c>
      <c r="BZ58" s="238" t="str">
        <f t="shared" si="21"/>
        <v/>
      </c>
      <c r="CA58" s="238" t="str">
        <f t="shared" si="22"/>
        <v/>
      </c>
      <c r="CB58" s="238" t="str">
        <f t="shared" si="23"/>
        <v/>
      </c>
      <c r="CC58" s="238" t="str">
        <f t="shared" si="24"/>
        <v/>
      </c>
      <c r="CD58" s="238">
        <f t="shared" si="25"/>
        <v>6.4</v>
      </c>
      <c r="CE58" s="238">
        <f t="shared" si="26"/>
        <v>7.8</v>
      </c>
      <c r="CF58" s="238">
        <f t="shared" si="27"/>
        <v>6.3</v>
      </c>
      <c r="CG58" s="239">
        <f t="shared" si="28"/>
        <v>0</v>
      </c>
      <c r="CH58" s="238">
        <f t="shared" si="29"/>
        <v>7.9</v>
      </c>
      <c r="CI58" s="238">
        <f t="shared" si="30"/>
        <v>8.1999999999999993</v>
      </c>
      <c r="CJ58" s="238">
        <f t="shared" si="31"/>
        <v>5.6</v>
      </c>
      <c r="CK58" s="238">
        <f t="shared" si="32"/>
        <v>7.8</v>
      </c>
      <c r="CL58" s="238">
        <f t="shared" si="33"/>
        <v>6</v>
      </c>
      <c r="CM58" s="238" t="str">
        <f t="shared" si="34"/>
        <v/>
      </c>
      <c r="CN58" s="238" t="str">
        <f t="shared" si="35"/>
        <v/>
      </c>
      <c r="CO58" s="238" t="str">
        <f t="shared" si="36"/>
        <v/>
      </c>
      <c r="CP58" s="238" t="str">
        <f t="shared" si="37"/>
        <v/>
      </c>
      <c r="CQ58" s="238">
        <f t="shared" si="38"/>
        <v>6.4</v>
      </c>
      <c r="CR58" s="238">
        <f t="shared" si="39"/>
        <v>7.8</v>
      </c>
      <c r="CS58" s="238">
        <f t="shared" si="40"/>
        <v>6.3</v>
      </c>
      <c r="CT58" s="240">
        <f t="shared" si="41"/>
        <v>6.99</v>
      </c>
      <c r="CU58" s="241">
        <f t="shared" si="42"/>
        <v>7.9</v>
      </c>
      <c r="CV58" s="241">
        <f t="shared" si="43"/>
        <v>8.1999999999999993</v>
      </c>
      <c r="CW58" s="241">
        <f t="shared" si="44"/>
        <v>5.6</v>
      </c>
      <c r="CX58" s="241">
        <f t="shared" si="45"/>
        <v>7.8</v>
      </c>
      <c r="CY58" s="241">
        <f t="shared" si="46"/>
        <v>6</v>
      </c>
      <c r="CZ58" s="241" t="str">
        <f t="shared" si="47"/>
        <v/>
      </c>
      <c r="DA58" s="241" t="str">
        <f t="shared" si="48"/>
        <v/>
      </c>
      <c r="DB58" s="241" t="str">
        <f t="shared" si="49"/>
        <v/>
      </c>
      <c r="DC58" s="241" t="str">
        <f t="shared" si="50"/>
        <v/>
      </c>
      <c r="DD58" s="241">
        <f t="shared" si="51"/>
        <v>6.4</v>
      </c>
      <c r="DE58" s="241">
        <f t="shared" si="52"/>
        <v>7.8</v>
      </c>
      <c r="DF58" s="241">
        <f t="shared" si="53"/>
        <v>6.3</v>
      </c>
      <c r="DG58" s="242">
        <f t="shared" si="101"/>
        <v>6.99</v>
      </c>
      <c r="DH58" s="82" t="str">
        <f t="shared" si="54"/>
        <v/>
      </c>
      <c r="DI58" s="82" t="str">
        <f t="shared" si="55"/>
        <v/>
      </c>
      <c r="DJ58" s="82" t="str">
        <f t="shared" si="56"/>
        <v/>
      </c>
      <c r="DK58" s="82" t="str">
        <f t="shared" si="57"/>
        <v/>
      </c>
      <c r="DL58" s="82" t="str">
        <f t="shared" si="58"/>
        <v/>
      </c>
      <c r="DM58" s="82" t="str">
        <f t="shared" si="59"/>
        <v/>
      </c>
      <c r="DN58" s="82" t="str">
        <f t="shared" si="60"/>
        <v/>
      </c>
      <c r="DO58" s="82" t="str">
        <f t="shared" si="61"/>
        <v/>
      </c>
      <c r="DP58" s="82" t="str">
        <f t="shared" si="62"/>
        <v/>
      </c>
      <c r="DQ58" s="82" t="str">
        <f t="shared" si="63"/>
        <v/>
      </c>
      <c r="DR58" s="82" t="str">
        <f t="shared" si="64"/>
        <v/>
      </c>
      <c r="DS58" s="253" t="str">
        <f t="shared" si="65"/>
        <v/>
      </c>
      <c r="DT58" s="250">
        <f t="shared" si="66"/>
        <v>7.9</v>
      </c>
      <c r="DU58" s="238">
        <f t="shared" si="67"/>
        <v>8.1999999999999993</v>
      </c>
      <c r="DV58" s="238">
        <f t="shared" si="68"/>
        <v>5.6</v>
      </c>
      <c r="DW58" s="238">
        <f t="shared" si="69"/>
        <v>7.8</v>
      </c>
      <c r="DX58" s="238">
        <f t="shared" si="70"/>
        <v>6</v>
      </c>
      <c r="DY58" s="238" t="str">
        <f t="shared" si="71"/>
        <v/>
      </c>
      <c r="DZ58" s="238" t="str">
        <f t="shared" si="72"/>
        <v/>
      </c>
      <c r="EA58" s="238" t="str">
        <f t="shared" si="73"/>
        <v/>
      </c>
      <c r="EB58" s="238" t="str">
        <f t="shared" si="74"/>
        <v/>
      </c>
      <c r="EC58" s="238">
        <f t="shared" si="75"/>
        <v>6.4</v>
      </c>
      <c r="ED58" s="238">
        <f t="shared" si="76"/>
        <v>7.8</v>
      </c>
      <c r="EE58" s="238">
        <f t="shared" si="77"/>
        <v>6.3</v>
      </c>
      <c r="EF58" s="255" t="str">
        <f t="shared" si="78"/>
        <v/>
      </c>
      <c r="EG58" s="257">
        <f t="shared" si="79"/>
        <v>7.9</v>
      </c>
      <c r="EH58" s="257">
        <f t="shared" si="80"/>
        <v>8.1999999999999993</v>
      </c>
      <c r="EI58" s="257">
        <f t="shared" si="81"/>
        <v>5.6</v>
      </c>
      <c r="EJ58" s="257">
        <f t="shared" si="82"/>
        <v>7.8</v>
      </c>
      <c r="EK58" s="257">
        <f t="shared" si="83"/>
        <v>6</v>
      </c>
      <c r="EL58" s="257" t="str">
        <f t="shared" si="84"/>
        <v/>
      </c>
      <c r="EM58" s="257" t="str">
        <f t="shared" si="85"/>
        <v/>
      </c>
      <c r="EN58" s="257" t="str">
        <f t="shared" si="86"/>
        <v/>
      </c>
      <c r="EO58" s="257" t="str">
        <f t="shared" si="87"/>
        <v/>
      </c>
      <c r="EP58" s="257">
        <f t="shared" si="88"/>
        <v>6.4</v>
      </c>
      <c r="EQ58" s="257">
        <f t="shared" si="89"/>
        <v>7.8</v>
      </c>
      <c r="ER58" s="257">
        <f t="shared" si="90"/>
        <v>6.3</v>
      </c>
      <c r="ES58" s="262">
        <f t="shared" si="102"/>
        <v>6.99</v>
      </c>
      <c r="ET58" s="307">
        <f t="shared" si="91"/>
        <v>6.99</v>
      </c>
      <c r="EX58" s="89"/>
    </row>
    <row r="59" spans="1:154" s="90" customFormat="1" ht="30" customHeight="1">
      <c r="A59" s="272">
        <f>IF($B59="","",SUBTOTAL(3,$B$11:B59))</f>
        <v>49</v>
      </c>
      <c r="B59" s="457" t="s">
        <v>1620</v>
      </c>
      <c r="C59" s="76" t="str">
        <f>IF($B59="","",VLOOKUP($B59,'DS LOP HKI'!$B$2:$D$951,2,0))</f>
        <v>Nguyễn Văn</v>
      </c>
      <c r="D59" s="77" t="str">
        <f>IF($B59="","",VLOOKUP($B59,'DS LOP HKI'!$B$2:$D$951,3,0))</f>
        <v>Tư</v>
      </c>
      <c r="E59" s="78"/>
      <c r="F59" s="79"/>
      <c r="G59" s="80"/>
      <c r="H59" s="81">
        <f>IF(OR($H$6="",$H$7=""),"",IF($B59="","",IF(ISNA(VLOOKUP($B59,'LT01'!$B$11:$M$80,12,FALSE)),"",IF(VLOOKUP($B59,'LT01'!$B$11:$M$80,12,FALSE)="","",VLOOKUP($B59,'LT01'!$B$11:$M$80,12,FALSE)))))</f>
        <v>0</v>
      </c>
      <c r="I59" s="82">
        <f>IF(OR($H$6="",$H$7=""),"",IF($B59="","",IF(ISNA(VLOOKUP($B59,'LT01'!$B$11:$N$80,13,FALSE)),"",VLOOKUP($B59,'LT01'!$B$11:$N$80,13,FALSE))))</f>
        <v>0</v>
      </c>
      <c r="J59" s="83"/>
      <c r="K59" s="84" t="str">
        <f>IF(OR($H$6="",$H$7=""),"",IF($B59="","",IF(ISNA(VLOOKUP($B59,'LT01'!$B$11:$Q$80,16,FALSE)),"",IF(VLOOKUP($B59,'LT01'!$B$11:$Q$80,16,FALSE)="","",VLOOKUP($B59,'LT01'!$B$11:$Q$80,16,FALSE)))))</f>
        <v/>
      </c>
      <c r="L59" s="85">
        <f>IF(OR($L$6="",$L$7=""),"",IF($B59="","",IF(ISNA(VLOOKUP($B59,'LT02'!$B$11:$M$80,12,FALSE)),"",IF(VLOOKUP($B59,'LT02'!$B$11:$M$80,12,FALSE)="","",VLOOKUP($B59,'LT02'!$B$11:$M$80,12,FALSE)))))</f>
        <v>0</v>
      </c>
      <c r="M59" s="82">
        <f>IF(OR($L$6="",$L$7=""),"",IF($B59="","",IF(ISNA(VLOOKUP($B59,'LT02'!$B$11:$N$80,13,FALSE)),"",VLOOKUP($B59,'LT02'!$B$11:$N$80,13,FALSE))))</f>
        <v>0</v>
      </c>
      <c r="N59" s="83"/>
      <c r="O59" s="84" t="str">
        <f>IF(OR($L$6="",$L$7=""),"",IF($B59="","",IF(ISNA(VLOOKUP($B59,'LT02'!$B$11:$Q$80,16,FALSE)),"",VLOOKUP($B59,'LT02'!$B$11:$Q$80,16,FALSE))))</f>
        <v/>
      </c>
      <c r="P59" s="85">
        <f>IF(OR($P$6="",$P$7=""),"",IF($B59="","",IF(ISNA(VLOOKUP($B59,'LT03'!$B$11:$M$80,12,FALSE)),"",IF(VLOOKUP($B59,'LT03'!$B$11:$M$80,12,FALSE)="","",VLOOKUP($B59,'LT03'!$B$11:$M$80,12,FALSE)))))</f>
        <v>0</v>
      </c>
      <c r="Q59" s="82">
        <f>IF(OR($P$6="",$P$7=""),"",IF($B59="","",IF(ISNA(VLOOKUP($B59,'LT03'!$B$11:$N$80,13,FALSE)),"",VLOOKUP($B59,'LT03'!$B$11:$N$80,13,FALSE))))</f>
        <v>0</v>
      </c>
      <c r="R59" s="83"/>
      <c r="S59" s="84" t="str">
        <f>IF(OR($P$6="",$P$7=""),"",IF($B59="","",IF(ISNA(VLOOKUP($B59,'LT03'!$B$11:$Q$80,16,FALSE)),"",VLOOKUP($B59,'LT03'!$B$11:$Q$80,16,FALSE))))</f>
        <v/>
      </c>
      <c r="T59" s="85">
        <f>IF(OR($T$6="",$T$7=""),"",IF($B59="","",IF(ISNA(VLOOKUP($B59,'LT04'!$B$11:$M$80,12,FALSE)),"",IF(VLOOKUP($B59,'LT04'!$B$11:$M$80,12,FALSE)="","",VLOOKUP($B59,'LT04'!$B$11:$M$80,12,FALSE)))))</f>
        <v>0</v>
      </c>
      <c r="U59" s="82">
        <f>IF(OR($T$6="",$T$7=""),"",IF($B59="","",IF(ISNA(VLOOKUP($B59,'LT04'!$B$11:$N$80,13,FALSE)),"",VLOOKUP($B59,'LT04'!$B$11:$N$80,13,FALSE))))</f>
        <v>0</v>
      </c>
      <c r="V59" s="83"/>
      <c r="W59" s="84" t="str">
        <f>IF(OR($T$6="",$T$7=""),"",IF($B59="","",IF(ISNA(VLOOKUP($B59,'LT04'!$B$11:$Q$80,16,FALSE)),"",VLOOKUP($B59,'LT04'!$B$11:$Q$80,16,FALSE))))</f>
        <v/>
      </c>
      <c r="X59" s="85">
        <f>IF(OR($X$6="",$X$7=""),"",IF($B59="","",IF(ISNA(VLOOKUP($B59,'LT05'!$B$11:$M$80,12,FALSE)),"",IF(VLOOKUP($B59,'LT05'!$B$11:$M$80,12,FALSE)="","",VLOOKUP($B59,'LT05'!$B$11:$M$80,12,FALSE)))))</f>
        <v>0</v>
      </c>
      <c r="Y59" s="82">
        <f>IF(OR($X$6="",$X$7=""),"",IF($B59="","",IF(ISNA(VLOOKUP($B59,'LT05'!$B$11:$N$80,13,FALSE)),"",VLOOKUP($B59,'LT05'!$B$11:$N$80,13,FALSE))))</f>
        <v>0</v>
      </c>
      <c r="Z59" s="83"/>
      <c r="AA59" s="84" t="str">
        <f>IF(OR($X$6="",$X$7=""),"",IF($B59="","",IF(ISNA(VLOOKUP($B59,'LT05'!$B$11:$Q$80,16,FALSE)),"",VLOOKUP($B59,'LT05'!$B$11:$Q$80,16,FALSE))))</f>
        <v/>
      </c>
      <c r="AB59" s="85" t="str">
        <f>IF(OR($AB$6="",$AB$7=""),"",IF($B59="","",IF(ISNA(VLOOKUP($B59,'LT06'!$B$11:$M$80,12,FALSE)),"",IF(VLOOKUP($B59,'LT06'!$B$11:$M$80,12,FALSE)="","",VLOOKUP($B59,'LT06'!$B$11:$M$80,12,FALSE)))))</f>
        <v/>
      </c>
      <c r="AC59" s="82" t="str">
        <f>IF(OR($AB$6="",$AB$7=""),"",IF($B59="","",IF(ISNA(VLOOKUP($B59,'LT06'!$B$11:$N$80,13,FALSE)),"",VLOOKUP($B59,'LT06'!$B$11:$N$80,13,FALSE))))</f>
        <v/>
      </c>
      <c r="AD59" s="83"/>
      <c r="AE59" s="84" t="str">
        <f>IF(OR($AB$6="",$AB$7=""),"",IF($B59="","",IF(ISNA(VLOOKUP($B59,'LT06'!$B$11:$Q$80,16,FALSE)),"",VLOOKUP($B59,'LT06'!$B$11:$Q$80,16,FALSE))))</f>
        <v/>
      </c>
      <c r="AF59" s="85" t="str">
        <f>IF(OR($AF$6="",$AF$7=""),"",IF($B59="","",IF(ISNA(VLOOKUP($B59,'LT07'!$B$11:$M$80,12,FALSE)),"",IF(VLOOKUP($B59,'LT07'!$B$11:$M$80,12,FALSE)="","",VLOOKUP($B59,'LT07'!$B$11:$M$80,12,FALSE)))))</f>
        <v/>
      </c>
      <c r="AG59" s="82" t="str">
        <f>IF(OR($AF$6="",$AF$7=""),"",IF($B59="","",IF(ISNA(VLOOKUP($B59,'LT07'!$B$11:$N$80,13,FALSE)),"",VLOOKUP($B59,'LT07'!$B$11:$N$80,13,FALSE))))</f>
        <v/>
      </c>
      <c r="AH59" s="83"/>
      <c r="AI59" s="84" t="str">
        <f>IF(OR($AF$6="",$AF$7=""),"",IF($B59="","",IF(ISNA(VLOOKUP($B59,'LT07'!$B$11:$Q$80,16,FALSE)),"",VLOOKUP($B59,'LT07'!$B$11:$Q$80,16,FALSE))))</f>
        <v/>
      </c>
      <c r="AJ59" s="304"/>
      <c r="AK59" s="82" t="str">
        <f>IF(OR($AJ$6="",$AJ$7=""),"",IF($B59="","",IF(ISNA(VLOOKUP($B59,'DO AN'!$B$11:$L$80,11,FALSE)),"",IF(VLOOKUP($B59,'DO AN'!$B$11:$L$80,11,FALSE)="","",VLOOKUP($B59,'DO AN'!$B$11:$L$80,11,FALSE)))))</f>
        <v/>
      </c>
      <c r="AL59" s="83"/>
      <c r="AM59" s="451"/>
      <c r="AN59" s="83"/>
      <c r="AO59" s="82" t="str">
        <f>IF(OR($AN$6="",$AN$7=""),"",IF($B59="","",IF(ISNA(VLOOKUP($B59,'DO AN 2'!$B$11:$L$80,11,FALSE)),"",IF(VLOOKUP($B59,'DO AN 2'!$B$11:$L$80,11,FALSE)="","",VLOOKUP($B59,'DO AN 2'!$B$11:$L$80,11,FALSE)))))</f>
        <v/>
      </c>
      <c r="AP59" s="83"/>
      <c r="AQ59" s="83"/>
      <c r="AR59" s="454"/>
      <c r="AS59" s="82">
        <f>IF(OR($AR$6="",$AR$7=""),"",IF($B59="","",IF(ISNA(VLOOKUP($B59,'TH01'!$B$11:$O$80,14,FALSE)),"",VLOOKUP($B59,'TH01'!$B$11:$O$80,14,FALSE))))</f>
        <v>0</v>
      </c>
      <c r="AT59" s="83"/>
      <c r="AU59" s="303"/>
      <c r="AV59" s="304"/>
      <c r="AW59" s="82">
        <f>IF(OR($AV$6="",$AV$7=""),"",IF($B59="","",IF(ISNA(VLOOKUP($B59,'TH02'!$B$11:$O$80,14,FALSE)),"",VLOOKUP($B59,'TH02'!$B$11:$O$80,14,FALSE))))</f>
        <v>0</v>
      </c>
      <c r="AX59" s="83"/>
      <c r="AY59" s="303"/>
      <c r="AZ59" s="304"/>
      <c r="BA59" s="82">
        <f>IF(OR($AZ$6="",$AZ$7=""),"",IF($B59="","",IF(ISNA(VLOOKUP($B59,'TH03'!$B$11:$O$80,14,FALSE)),"",VLOOKUP($B59,'TH03'!$B$11:$O$80,14,FALSE))))</f>
        <v>0</v>
      </c>
      <c r="BB59" s="83"/>
      <c r="BC59" s="303"/>
      <c r="BD59" s="86">
        <f t="shared" si="11"/>
        <v>0</v>
      </c>
      <c r="BE59" s="86" t="str">
        <f t="shared" si="12"/>
        <v/>
      </c>
      <c r="BF59" s="87">
        <v>0</v>
      </c>
      <c r="BG59" s="88" t="str">
        <f t="shared" si="92"/>
        <v>Kém</v>
      </c>
      <c r="BH59" s="88" t="str">
        <f t="shared" si="93"/>
        <v/>
      </c>
      <c r="BI59" s="87"/>
      <c r="BJ59" s="86" t="str">
        <f t="shared" si="94"/>
        <v>Cảnh Báo</v>
      </c>
      <c r="BK59" s="265">
        <f t="shared" si="95"/>
        <v>0</v>
      </c>
      <c r="BL59" s="88">
        <f t="shared" si="96"/>
        <v>18</v>
      </c>
      <c r="BM59" s="88">
        <f t="shared" si="97"/>
        <v>0</v>
      </c>
      <c r="BN59" s="88">
        <f t="shared" si="98"/>
        <v>18</v>
      </c>
      <c r="BO59" s="86">
        <f t="shared" si="13"/>
        <v>0</v>
      </c>
      <c r="BP59" s="86" t="str">
        <f t="shared" si="99"/>
        <v>Yếu</v>
      </c>
      <c r="BQ59" s="86">
        <f t="shared" si="14"/>
        <v>0</v>
      </c>
      <c r="BR59" s="86" t="str">
        <f t="shared" si="100"/>
        <v>Yếu</v>
      </c>
      <c r="BS59" s="87" t="s">
        <v>2707</v>
      </c>
      <c r="BT59" s="276">
        <f t="shared" si="15"/>
        <v>8</v>
      </c>
      <c r="BU59" s="238">
        <f t="shared" si="16"/>
        <v>0</v>
      </c>
      <c r="BV59" s="238">
        <f t="shared" si="17"/>
        <v>0</v>
      </c>
      <c r="BW59" s="238">
        <f t="shared" si="18"/>
        <v>0</v>
      </c>
      <c r="BX59" s="238">
        <f t="shared" si="19"/>
        <v>0</v>
      </c>
      <c r="BY59" s="238">
        <f t="shared" si="20"/>
        <v>0</v>
      </c>
      <c r="BZ59" s="238" t="str">
        <f t="shared" si="21"/>
        <v/>
      </c>
      <c r="CA59" s="238" t="str">
        <f t="shared" si="22"/>
        <v/>
      </c>
      <c r="CB59" s="238" t="str">
        <f t="shared" si="23"/>
        <v/>
      </c>
      <c r="CC59" s="238" t="str">
        <f t="shared" si="24"/>
        <v/>
      </c>
      <c r="CD59" s="238">
        <f t="shared" si="25"/>
        <v>0</v>
      </c>
      <c r="CE59" s="238">
        <f t="shared" si="26"/>
        <v>0</v>
      </c>
      <c r="CF59" s="238">
        <f t="shared" si="27"/>
        <v>0</v>
      </c>
      <c r="CG59" s="239">
        <f t="shared" si="28"/>
        <v>8</v>
      </c>
      <c r="CH59" s="238">
        <f t="shared" si="29"/>
        <v>0</v>
      </c>
      <c r="CI59" s="238">
        <f t="shared" si="30"/>
        <v>0</v>
      </c>
      <c r="CJ59" s="238">
        <f t="shared" si="31"/>
        <v>0</v>
      </c>
      <c r="CK59" s="238">
        <f t="shared" si="32"/>
        <v>0</v>
      </c>
      <c r="CL59" s="238">
        <f t="shared" si="33"/>
        <v>0</v>
      </c>
      <c r="CM59" s="238" t="str">
        <f t="shared" si="34"/>
        <v/>
      </c>
      <c r="CN59" s="238" t="str">
        <f t="shared" si="35"/>
        <v/>
      </c>
      <c r="CO59" s="238" t="str">
        <f t="shared" si="36"/>
        <v/>
      </c>
      <c r="CP59" s="238" t="str">
        <f t="shared" si="37"/>
        <v/>
      </c>
      <c r="CQ59" s="238">
        <f t="shared" si="38"/>
        <v>0</v>
      </c>
      <c r="CR59" s="238">
        <f t="shared" si="39"/>
        <v>0</v>
      </c>
      <c r="CS59" s="238">
        <f t="shared" si="40"/>
        <v>0</v>
      </c>
      <c r="CT59" s="240">
        <f t="shared" si="41"/>
        <v>0</v>
      </c>
      <c r="CU59" s="241" t="str">
        <f t="shared" si="42"/>
        <v/>
      </c>
      <c r="CV59" s="241" t="str">
        <f t="shared" si="43"/>
        <v/>
      </c>
      <c r="CW59" s="241" t="str">
        <f t="shared" si="44"/>
        <v/>
      </c>
      <c r="CX59" s="241" t="str">
        <f t="shared" si="45"/>
        <v/>
      </c>
      <c r="CY59" s="241" t="str">
        <f t="shared" si="46"/>
        <v/>
      </c>
      <c r="CZ59" s="241" t="str">
        <f t="shared" si="47"/>
        <v/>
      </c>
      <c r="DA59" s="241" t="str">
        <f t="shared" si="48"/>
        <v/>
      </c>
      <c r="DB59" s="241" t="str">
        <f t="shared" si="49"/>
        <v/>
      </c>
      <c r="DC59" s="241" t="str">
        <f t="shared" si="50"/>
        <v/>
      </c>
      <c r="DD59" s="241" t="str">
        <f t="shared" si="51"/>
        <v/>
      </c>
      <c r="DE59" s="241" t="str">
        <f t="shared" si="52"/>
        <v/>
      </c>
      <c r="DF59" s="241" t="str">
        <f t="shared" si="53"/>
        <v/>
      </c>
      <c r="DG59" s="242">
        <f t="shared" si="101"/>
        <v>0</v>
      </c>
      <c r="DH59" s="82" t="str">
        <f t="shared" si="54"/>
        <v/>
      </c>
      <c r="DI59" s="82" t="str">
        <f t="shared" si="55"/>
        <v/>
      </c>
      <c r="DJ59" s="82" t="str">
        <f t="shared" si="56"/>
        <v/>
      </c>
      <c r="DK59" s="82" t="str">
        <f t="shared" si="57"/>
        <v/>
      </c>
      <c r="DL59" s="82" t="str">
        <f t="shared" si="58"/>
        <v/>
      </c>
      <c r="DM59" s="82" t="str">
        <f t="shared" si="59"/>
        <v/>
      </c>
      <c r="DN59" s="82" t="str">
        <f t="shared" si="60"/>
        <v/>
      </c>
      <c r="DO59" s="82" t="str">
        <f t="shared" si="61"/>
        <v/>
      </c>
      <c r="DP59" s="82" t="str">
        <f t="shared" si="62"/>
        <v/>
      </c>
      <c r="DQ59" s="82" t="str">
        <f t="shared" si="63"/>
        <v/>
      </c>
      <c r="DR59" s="82" t="str">
        <f t="shared" si="64"/>
        <v/>
      </c>
      <c r="DS59" s="253" t="str">
        <f t="shared" si="65"/>
        <v/>
      </c>
      <c r="DT59" s="250">
        <f t="shared" si="66"/>
        <v>0</v>
      </c>
      <c r="DU59" s="238">
        <f t="shared" si="67"/>
        <v>0</v>
      </c>
      <c r="DV59" s="238">
        <f t="shared" si="68"/>
        <v>0</v>
      </c>
      <c r="DW59" s="238">
        <f t="shared" si="69"/>
        <v>0</v>
      </c>
      <c r="DX59" s="238">
        <f t="shared" si="70"/>
        <v>0</v>
      </c>
      <c r="DY59" s="238" t="str">
        <f t="shared" si="71"/>
        <v/>
      </c>
      <c r="DZ59" s="238" t="str">
        <f t="shared" si="72"/>
        <v/>
      </c>
      <c r="EA59" s="238" t="str">
        <f t="shared" si="73"/>
        <v/>
      </c>
      <c r="EB59" s="238" t="str">
        <f t="shared" si="74"/>
        <v/>
      </c>
      <c r="EC59" s="238">
        <f t="shared" si="75"/>
        <v>0</v>
      </c>
      <c r="ED59" s="238">
        <f t="shared" si="76"/>
        <v>0</v>
      </c>
      <c r="EE59" s="238">
        <f t="shared" si="77"/>
        <v>0</v>
      </c>
      <c r="EF59" s="255" t="str">
        <f t="shared" si="78"/>
        <v/>
      </c>
      <c r="EG59" s="257" t="str">
        <f t="shared" si="79"/>
        <v/>
      </c>
      <c r="EH59" s="257" t="str">
        <f t="shared" si="80"/>
        <v/>
      </c>
      <c r="EI59" s="257" t="str">
        <f t="shared" si="81"/>
        <v/>
      </c>
      <c r="EJ59" s="257" t="str">
        <f t="shared" si="82"/>
        <v/>
      </c>
      <c r="EK59" s="257" t="str">
        <f t="shared" si="83"/>
        <v/>
      </c>
      <c r="EL59" s="257" t="str">
        <f t="shared" si="84"/>
        <v/>
      </c>
      <c r="EM59" s="257" t="str">
        <f t="shared" si="85"/>
        <v/>
      </c>
      <c r="EN59" s="257" t="str">
        <f t="shared" si="86"/>
        <v/>
      </c>
      <c r="EO59" s="257" t="str">
        <f t="shared" si="87"/>
        <v/>
      </c>
      <c r="EP59" s="257" t="str">
        <f t="shared" si="88"/>
        <v/>
      </c>
      <c r="EQ59" s="257" t="str">
        <f t="shared" si="89"/>
        <v/>
      </c>
      <c r="ER59" s="257" t="str">
        <f t="shared" si="90"/>
        <v/>
      </c>
      <c r="ES59" s="262">
        <f t="shared" si="102"/>
        <v>0</v>
      </c>
      <c r="ET59" s="307">
        <f t="shared" si="91"/>
        <v>0</v>
      </c>
      <c r="EX59" s="89"/>
    </row>
    <row r="60" spans="1:154" s="90" customFormat="1" ht="30" customHeight="1">
      <c r="A60" s="272">
        <f>IF($B60="","",SUBTOTAL(3,$B$11:B60))</f>
        <v>50</v>
      </c>
      <c r="B60" s="457" t="s">
        <v>1622</v>
      </c>
      <c r="C60" s="76" t="str">
        <f>IF($B60="","",VLOOKUP($B60,'DS LOP HKI'!$B$2:$D$951,2,0))</f>
        <v>Lê Văn</v>
      </c>
      <c r="D60" s="77" t="str">
        <f>IF($B60="","",VLOOKUP($B60,'DS LOP HKI'!$B$2:$D$951,3,0))</f>
        <v>Vũ</v>
      </c>
      <c r="E60" s="78"/>
      <c r="F60" s="79"/>
      <c r="G60" s="80"/>
      <c r="H60" s="81">
        <f>IF(OR($H$6="",$H$7=""),"",IF($B60="","",IF(ISNA(VLOOKUP($B60,'LT01'!$B$11:$M$80,12,FALSE)),"",IF(VLOOKUP($B60,'LT01'!$B$11:$M$80,12,FALSE)="","",VLOOKUP($B60,'LT01'!$B$11:$M$80,12,FALSE)))))</f>
        <v>0</v>
      </c>
      <c r="I60" s="82">
        <f>IF(OR($H$6="",$H$7=""),"",IF($B60="","",IF(ISNA(VLOOKUP($B60,'LT01'!$B$11:$N$80,13,FALSE)),"",VLOOKUP($B60,'LT01'!$B$11:$N$80,13,FALSE))))</f>
        <v>0</v>
      </c>
      <c r="J60" s="83"/>
      <c r="K60" s="84" t="str">
        <f>IF(OR($H$6="",$H$7=""),"",IF($B60="","",IF(ISNA(VLOOKUP($B60,'LT01'!$B$11:$Q$80,16,FALSE)),"",IF(VLOOKUP($B60,'LT01'!$B$11:$Q$80,16,FALSE)="","",VLOOKUP($B60,'LT01'!$B$11:$Q$80,16,FALSE)))))</f>
        <v/>
      </c>
      <c r="L60" s="85">
        <f>IF(OR($L$6="",$L$7=""),"",IF($B60="","",IF(ISNA(VLOOKUP($B60,'LT02'!$B$11:$M$80,12,FALSE)),"",IF(VLOOKUP($B60,'LT02'!$B$11:$M$80,12,FALSE)="","",VLOOKUP($B60,'LT02'!$B$11:$M$80,12,FALSE)))))</f>
        <v>0</v>
      </c>
      <c r="M60" s="82">
        <f>IF(OR($L$6="",$L$7=""),"",IF($B60="","",IF(ISNA(VLOOKUP($B60,'LT02'!$B$11:$N$80,13,FALSE)),"",VLOOKUP($B60,'LT02'!$B$11:$N$80,13,FALSE))))</f>
        <v>0</v>
      </c>
      <c r="N60" s="83"/>
      <c r="O60" s="84" t="str">
        <f>IF(OR($L$6="",$L$7=""),"",IF($B60="","",IF(ISNA(VLOOKUP($B60,'LT02'!$B$11:$Q$80,16,FALSE)),"",VLOOKUP($B60,'LT02'!$B$11:$Q$80,16,FALSE))))</f>
        <v/>
      </c>
      <c r="P60" s="85">
        <f>IF(OR($P$6="",$P$7=""),"",IF($B60="","",IF(ISNA(VLOOKUP($B60,'LT03'!$B$11:$M$80,12,FALSE)),"",IF(VLOOKUP($B60,'LT03'!$B$11:$M$80,12,FALSE)="","",VLOOKUP($B60,'LT03'!$B$11:$M$80,12,FALSE)))))</f>
        <v>0</v>
      </c>
      <c r="Q60" s="82">
        <f>IF(OR($P$6="",$P$7=""),"",IF($B60="","",IF(ISNA(VLOOKUP($B60,'LT03'!$B$11:$N$80,13,FALSE)),"",VLOOKUP($B60,'LT03'!$B$11:$N$80,13,FALSE))))</f>
        <v>0</v>
      </c>
      <c r="R60" s="83"/>
      <c r="S60" s="84" t="str">
        <f>IF(OR($P$6="",$P$7=""),"",IF($B60="","",IF(ISNA(VLOOKUP($B60,'LT03'!$B$11:$Q$80,16,FALSE)),"",VLOOKUP($B60,'LT03'!$B$11:$Q$80,16,FALSE))))</f>
        <v/>
      </c>
      <c r="T60" s="85">
        <f>IF(OR($T$6="",$T$7=""),"",IF($B60="","",IF(ISNA(VLOOKUP($B60,'LT04'!$B$11:$M$80,12,FALSE)),"",IF(VLOOKUP($B60,'LT04'!$B$11:$M$80,12,FALSE)="","",VLOOKUP($B60,'LT04'!$B$11:$M$80,12,FALSE)))))</f>
        <v>0</v>
      </c>
      <c r="U60" s="82">
        <f>IF(OR($T$6="",$T$7=""),"",IF($B60="","",IF(ISNA(VLOOKUP($B60,'LT04'!$B$11:$N$80,13,FALSE)),"",VLOOKUP($B60,'LT04'!$B$11:$N$80,13,FALSE))))</f>
        <v>3.2</v>
      </c>
      <c r="V60" s="83"/>
      <c r="W60" s="84" t="str">
        <f>IF(OR($T$6="",$T$7=""),"",IF($B60="","",IF(ISNA(VLOOKUP($B60,'LT04'!$B$11:$Q$80,16,FALSE)),"",VLOOKUP($B60,'LT04'!$B$11:$Q$80,16,FALSE))))</f>
        <v/>
      </c>
      <c r="X60" s="85">
        <f>IF(OR($X$6="",$X$7=""),"",IF($B60="","",IF(ISNA(VLOOKUP($B60,'LT05'!$B$11:$M$80,12,FALSE)),"",IF(VLOOKUP($B60,'LT05'!$B$11:$M$80,12,FALSE)="","",VLOOKUP($B60,'LT05'!$B$11:$M$80,12,FALSE)))))</f>
        <v>0</v>
      </c>
      <c r="Y60" s="82">
        <f>IF(OR($X$6="",$X$7=""),"",IF($B60="","",IF(ISNA(VLOOKUP($B60,'LT05'!$B$11:$N$80,13,FALSE)),"",VLOOKUP($B60,'LT05'!$B$11:$N$80,13,FALSE))))</f>
        <v>0</v>
      </c>
      <c r="Z60" s="83"/>
      <c r="AA60" s="84" t="str">
        <f>IF(OR($X$6="",$X$7=""),"",IF($B60="","",IF(ISNA(VLOOKUP($B60,'LT05'!$B$11:$Q$80,16,FALSE)),"",VLOOKUP($B60,'LT05'!$B$11:$Q$80,16,FALSE))))</f>
        <v/>
      </c>
      <c r="AB60" s="85" t="str">
        <f>IF(OR($AB$6="",$AB$7=""),"",IF($B60="","",IF(ISNA(VLOOKUP($B60,'LT06'!$B$11:$M$80,12,FALSE)),"",IF(VLOOKUP($B60,'LT06'!$B$11:$M$80,12,FALSE)="","",VLOOKUP($B60,'LT06'!$B$11:$M$80,12,FALSE)))))</f>
        <v/>
      </c>
      <c r="AC60" s="82" t="str">
        <f>IF(OR($AB$6="",$AB$7=""),"",IF($B60="","",IF(ISNA(VLOOKUP($B60,'LT06'!$B$11:$N$80,13,FALSE)),"",VLOOKUP($B60,'LT06'!$B$11:$N$80,13,FALSE))))</f>
        <v/>
      </c>
      <c r="AD60" s="83"/>
      <c r="AE60" s="84" t="str">
        <f>IF(OR($AB$6="",$AB$7=""),"",IF($B60="","",IF(ISNA(VLOOKUP($B60,'LT06'!$B$11:$Q$80,16,FALSE)),"",VLOOKUP($B60,'LT06'!$B$11:$Q$80,16,FALSE))))</f>
        <v/>
      </c>
      <c r="AF60" s="85" t="str">
        <f>IF(OR($AF$6="",$AF$7=""),"",IF($B60="","",IF(ISNA(VLOOKUP($B60,'LT07'!$B$11:$M$80,12,FALSE)),"",IF(VLOOKUP($B60,'LT07'!$B$11:$M$80,12,FALSE)="","",VLOOKUP($B60,'LT07'!$B$11:$M$80,12,FALSE)))))</f>
        <v/>
      </c>
      <c r="AG60" s="82" t="str">
        <f>IF(OR($AF$6="",$AF$7=""),"",IF($B60="","",IF(ISNA(VLOOKUP($B60,'LT07'!$B$11:$N$80,13,FALSE)),"",VLOOKUP($B60,'LT07'!$B$11:$N$80,13,FALSE))))</f>
        <v/>
      </c>
      <c r="AH60" s="83"/>
      <c r="AI60" s="84" t="str">
        <f>IF(OR($AF$6="",$AF$7=""),"",IF($B60="","",IF(ISNA(VLOOKUP($B60,'LT07'!$B$11:$Q$80,16,FALSE)),"",VLOOKUP($B60,'LT07'!$B$11:$Q$80,16,FALSE))))</f>
        <v/>
      </c>
      <c r="AJ60" s="304"/>
      <c r="AK60" s="82" t="str">
        <f>IF(OR($AJ$6="",$AJ$7=""),"",IF($B60="","",IF(ISNA(VLOOKUP($B60,'DO AN'!$B$11:$L$80,11,FALSE)),"",IF(VLOOKUP($B60,'DO AN'!$B$11:$L$80,11,FALSE)="","",VLOOKUP($B60,'DO AN'!$B$11:$L$80,11,FALSE)))))</f>
        <v/>
      </c>
      <c r="AL60" s="83"/>
      <c r="AM60" s="451"/>
      <c r="AN60" s="83"/>
      <c r="AO60" s="82" t="str">
        <f>IF(OR($AN$6="",$AN$7=""),"",IF($B60="","",IF(ISNA(VLOOKUP($B60,'DO AN 2'!$B$11:$L$80,11,FALSE)),"",IF(VLOOKUP($B60,'DO AN 2'!$B$11:$L$80,11,FALSE)="","",VLOOKUP($B60,'DO AN 2'!$B$11:$L$80,11,FALSE)))))</f>
        <v/>
      </c>
      <c r="AP60" s="83"/>
      <c r="AQ60" s="83"/>
      <c r="AR60" s="454"/>
      <c r="AS60" s="82">
        <f>IF(OR($AR$6="",$AR$7=""),"",IF($B60="","",IF(ISNA(VLOOKUP($B60,'TH01'!$B$11:$O$80,14,FALSE)),"",VLOOKUP($B60,'TH01'!$B$11:$O$80,14,FALSE))))</f>
        <v>0</v>
      </c>
      <c r="AT60" s="83"/>
      <c r="AU60" s="303"/>
      <c r="AV60" s="304"/>
      <c r="AW60" s="82">
        <f>IF(OR($AV$6="",$AV$7=""),"",IF($B60="","",IF(ISNA(VLOOKUP($B60,'TH02'!$B$11:$O$80,14,FALSE)),"",VLOOKUP($B60,'TH02'!$B$11:$O$80,14,FALSE))))</f>
        <v>1.3</v>
      </c>
      <c r="AX60" s="83"/>
      <c r="AY60" s="303"/>
      <c r="AZ60" s="304"/>
      <c r="BA60" s="82">
        <f>IF(OR($AZ$6="",$AZ$7=""),"",IF($B60="","",IF(ISNA(VLOOKUP($B60,'TH03'!$B$11:$O$80,14,FALSE)),"",VLOOKUP($B60,'TH03'!$B$11:$O$80,14,FALSE))))</f>
        <v>1.3</v>
      </c>
      <c r="BB60" s="83"/>
      <c r="BC60" s="303"/>
      <c r="BD60" s="86">
        <f t="shared" si="11"/>
        <v>0.64</v>
      </c>
      <c r="BE60" s="86" t="str">
        <f t="shared" si="12"/>
        <v/>
      </c>
      <c r="BF60" s="87">
        <v>0</v>
      </c>
      <c r="BG60" s="88" t="str">
        <f t="shared" si="92"/>
        <v>Kém</v>
      </c>
      <c r="BH60" s="88" t="str">
        <f t="shared" si="93"/>
        <v/>
      </c>
      <c r="BI60" s="87"/>
      <c r="BJ60" s="86" t="str">
        <f t="shared" si="94"/>
        <v>Cảnh Báo</v>
      </c>
      <c r="BK60" s="265">
        <f t="shared" si="95"/>
        <v>0</v>
      </c>
      <c r="BL60" s="88">
        <f t="shared" si="96"/>
        <v>18</v>
      </c>
      <c r="BM60" s="88">
        <f t="shared" si="97"/>
        <v>0</v>
      </c>
      <c r="BN60" s="88">
        <f t="shared" si="98"/>
        <v>18</v>
      </c>
      <c r="BO60" s="86">
        <f t="shared" si="13"/>
        <v>0</v>
      </c>
      <c r="BP60" s="86" t="str">
        <f t="shared" si="99"/>
        <v>Yếu</v>
      </c>
      <c r="BQ60" s="86">
        <f t="shared" si="14"/>
        <v>0</v>
      </c>
      <c r="BR60" s="86" t="str">
        <f t="shared" si="100"/>
        <v>Yếu</v>
      </c>
      <c r="BS60" s="87" t="s">
        <v>2707</v>
      </c>
      <c r="BT60" s="276">
        <f t="shared" si="15"/>
        <v>8</v>
      </c>
      <c r="BU60" s="238">
        <f t="shared" si="16"/>
        <v>0</v>
      </c>
      <c r="BV60" s="238">
        <f t="shared" si="17"/>
        <v>0</v>
      </c>
      <c r="BW60" s="238">
        <f t="shared" si="18"/>
        <v>0</v>
      </c>
      <c r="BX60" s="238">
        <f t="shared" si="19"/>
        <v>0</v>
      </c>
      <c r="BY60" s="238">
        <f t="shared" si="20"/>
        <v>0</v>
      </c>
      <c r="BZ60" s="238" t="str">
        <f t="shared" si="21"/>
        <v/>
      </c>
      <c r="CA60" s="238" t="str">
        <f t="shared" si="22"/>
        <v/>
      </c>
      <c r="CB60" s="238" t="str">
        <f t="shared" si="23"/>
        <v/>
      </c>
      <c r="CC60" s="238" t="str">
        <f t="shared" si="24"/>
        <v/>
      </c>
      <c r="CD60" s="238">
        <f t="shared" si="25"/>
        <v>0</v>
      </c>
      <c r="CE60" s="238">
        <f t="shared" si="26"/>
        <v>1.3</v>
      </c>
      <c r="CF60" s="238">
        <f t="shared" si="27"/>
        <v>1.3</v>
      </c>
      <c r="CG60" s="239">
        <f t="shared" si="28"/>
        <v>8</v>
      </c>
      <c r="CH60" s="238">
        <f t="shared" si="29"/>
        <v>0</v>
      </c>
      <c r="CI60" s="238">
        <f t="shared" si="30"/>
        <v>0</v>
      </c>
      <c r="CJ60" s="238">
        <f t="shared" si="31"/>
        <v>0</v>
      </c>
      <c r="CK60" s="238">
        <f t="shared" si="32"/>
        <v>3.2</v>
      </c>
      <c r="CL60" s="238">
        <f t="shared" si="33"/>
        <v>0</v>
      </c>
      <c r="CM60" s="238" t="str">
        <f t="shared" si="34"/>
        <v/>
      </c>
      <c r="CN60" s="238" t="str">
        <f t="shared" si="35"/>
        <v/>
      </c>
      <c r="CO60" s="238" t="str">
        <f t="shared" si="36"/>
        <v/>
      </c>
      <c r="CP60" s="238" t="str">
        <f t="shared" si="37"/>
        <v/>
      </c>
      <c r="CQ60" s="238">
        <f t="shared" si="38"/>
        <v>0</v>
      </c>
      <c r="CR60" s="238">
        <f t="shared" si="39"/>
        <v>1.3</v>
      </c>
      <c r="CS60" s="238">
        <f t="shared" si="40"/>
        <v>1.3</v>
      </c>
      <c r="CT60" s="240">
        <f t="shared" si="41"/>
        <v>0.64</v>
      </c>
      <c r="CU60" s="241" t="str">
        <f t="shared" si="42"/>
        <v/>
      </c>
      <c r="CV60" s="241" t="str">
        <f t="shared" si="43"/>
        <v/>
      </c>
      <c r="CW60" s="241" t="str">
        <f t="shared" si="44"/>
        <v/>
      </c>
      <c r="CX60" s="241" t="str">
        <f t="shared" si="45"/>
        <v/>
      </c>
      <c r="CY60" s="241" t="str">
        <f t="shared" si="46"/>
        <v/>
      </c>
      <c r="CZ60" s="241" t="str">
        <f t="shared" si="47"/>
        <v/>
      </c>
      <c r="DA60" s="241" t="str">
        <f t="shared" si="48"/>
        <v/>
      </c>
      <c r="DB60" s="241" t="str">
        <f t="shared" si="49"/>
        <v/>
      </c>
      <c r="DC60" s="241" t="str">
        <f t="shared" si="50"/>
        <v/>
      </c>
      <c r="DD60" s="241" t="str">
        <f t="shared" si="51"/>
        <v/>
      </c>
      <c r="DE60" s="241" t="str">
        <f t="shared" si="52"/>
        <v/>
      </c>
      <c r="DF60" s="241" t="str">
        <f t="shared" si="53"/>
        <v/>
      </c>
      <c r="DG60" s="242">
        <f t="shared" si="101"/>
        <v>0</v>
      </c>
      <c r="DH60" s="82" t="str">
        <f t="shared" si="54"/>
        <v/>
      </c>
      <c r="DI60" s="82" t="str">
        <f t="shared" si="55"/>
        <v/>
      </c>
      <c r="DJ60" s="82" t="str">
        <f t="shared" si="56"/>
        <v/>
      </c>
      <c r="DK60" s="82" t="str">
        <f t="shared" si="57"/>
        <v/>
      </c>
      <c r="DL60" s="82" t="str">
        <f t="shared" si="58"/>
        <v/>
      </c>
      <c r="DM60" s="82" t="str">
        <f t="shared" si="59"/>
        <v/>
      </c>
      <c r="DN60" s="82" t="str">
        <f t="shared" si="60"/>
        <v/>
      </c>
      <c r="DO60" s="82" t="str">
        <f t="shared" si="61"/>
        <v/>
      </c>
      <c r="DP60" s="82" t="str">
        <f t="shared" si="62"/>
        <v/>
      </c>
      <c r="DQ60" s="82" t="str">
        <f t="shared" si="63"/>
        <v/>
      </c>
      <c r="DR60" s="82" t="str">
        <f t="shared" si="64"/>
        <v/>
      </c>
      <c r="DS60" s="253" t="str">
        <f t="shared" si="65"/>
        <v/>
      </c>
      <c r="DT60" s="250">
        <f t="shared" si="66"/>
        <v>0</v>
      </c>
      <c r="DU60" s="238">
        <f t="shared" si="67"/>
        <v>0</v>
      </c>
      <c r="DV60" s="238">
        <f t="shared" si="68"/>
        <v>0</v>
      </c>
      <c r="DW60" s="238">
        <f t="shared" si="69"/>
        <v>3.2</v>
      </c>
      <c r="DX60" s="238">
        <f t="shared" si="70"/>
        <v>0</v>
      </c>
      <c r="DY60" s="238" t="str">
        <f t="shared" si="71"/>
        <v/>
      </c>
      <c r="DZ60" s="238" t="str">
        <f t="shared" si="72"/>
        <v/>
      </c>
      <c r="EA60" s="238" t="str">
        <f t="shared" si="73"/>
        <v/>
      </c>
      <c r="EB60" s="238" t="str">
        <f t="shared" si="74"/>
        <v/>
      </c>
      <c r="EC60" s="238">
        <f t="shared" si="75"/>
        <v>0</v>
      </c>
      <c r="ED60" s="238">
        <f t="shared" si="76"/>
        <v>1.3</v>
      </c>
      <c r="EE60" s="238">
        <f t="shared" si="77"/>
        <v>1.3</v>
      </c>
      <c r="EF60" s="255" t="str">
        <f t="shared" si="78"/>
        <v/>
      </c>
      <c r="EG60" s="257" t="str">
        <f t="shared" si="79"/>
        <v/>
      </c>
      <c r="EH60" s="257" t="str">
        <f t="shared" si="80"/>
        <v/>
      </c>
      <c r="EI60" s="257" t="str">
        <f t="shared" si="81"/>
        <v/>
      </c>
      <c r="EJ60" s="257" t="str">
        <f t="shared" si="82"/>
        <v/>
      </c>
      <c r="EK60" s="257" t="str">
        <f t="shared" si="83"/>
        <v/>
      </c>
      <c r="EL60" s="257" t="str">
        <f t="shared" si="84"/>
        <v/>
      </c>
      <c r="EM60" s="257" t="str">
        <f t="shared" si="85"/>
        <v/>
      </c>
      <c r="EN60" s="257" t="str">
        <f t="shared" si="86"/>
        <v/>
      </c>
      <c r="EO60" s="257" t="str">
        <f t="shared" si="87"/>
        <v/>
      </c>
      <c r="EP60" s="257" t="str">
        <f t="shared" si="88"/>
        <v/>
      </c>
      <c r="EQ60" s="257" t="str">
        <f t="shared" si="89"/>
        <v/>
      </c>
      <c r="ER60" s="257" t="str">
        <f t="shared" si="90"/>
        <v/>
      </c>
      <c r="ES60" s="262">
        <f t="shared" si="102"/>
        <v>0</v>
      </c>
      <c r="ET60" s="307">
        <f t="shared" si="91"/>
        <v>0.64</v>
      </c>
      <c r="EX60" s="89"/>
    </row>
    <row r="61" spans="1:154" s="90" customFormat="1" ht="30" customHeight="1">
      <c r="A61" s="272" t="str">
        <f>IF($B61="","",SUBTOTAL(3,$B$11:B61))</f>
        <v/>
      </c>
      <c r="B61" s="457"/>
      <c r="C61" s="76" t="str">
        <f>IF($B61="","",VLOOKUP($B61,'DS LOP HKI'!$B$2:$D$951,2,0))</f>
        <v/>
      </c>
      <c r="D61" s="77" t="str">
        <f>IF($B61="","",VLOOKUP($B61,'DS LOP HKI'!$B$2:$D$951,3,0))</f>
        <v/>
      </c>
      <c r="E61" s="78"/>
      <c r="F61" s="79"/>
      <c r="G61" s="80"/>
      <c r="H61" s="81" t="str">
        <f>IF(OR($H$6="",$H$7=""),"",IF($B61="","",IF(ISNA(VLOOKUP($B61,'LT01'!$B$11:$M$80,12,FALSE)),"",IF(VLOOKUP($B61,'LT01'!$B$11:$M$80,12,FALSE)="","",VLOOKUP($B61,'LT01'!$B$11:$M$80,12,FALSE)))))</f>
        <v/>
      </c>
      <c r="I61" s="82" t="str">
        <f>IF(OR($H$6="",$H$7=""),"",IF($B61="","",IF(ISNA(VLOOKUP($B61,'LT01'!$B$11:$N$80,13,FALSE)),"",VLOOKUP($B61,'LT01'!$B$11:$N$80,13,FALSE))))</f>
        <v/>
      </c>
      <c r="J61" s="83"/>
      <c r="K61" s="84" t="str">
        <f>IF(OR($H$6="",$H$7=""),"",IF($B61="","",IF(ISNA(VLOOKUP($B61,'LT01'!$B$11:$Q$80,16,FALSE)),"",IF(VLOOKUP($B61,'LT01'!$B$11:$Q$80,16,FALSE)="","",VLOOKUP($B61,'LT01'!$B$11:$Q$80,16,FALSE)))))</f>
        <v/>
      </c>
      <c r="L61" s="85" t="str">
        <f>IF(OR($L$6="",$L$7=""),"",IF($B61="","",IF(ISNA(VLOOKUP($B61,'LT02'!$B$11:$M$80,12,FALSE)),"",IF(VLOOKUP($B61,'LT02'!$B$11:$M$80,12,FALSE)="","",VLOOKUP($B61,'LT02'!$B$11:$M$80,12,FALSE)))))</f>
        <v/>
      </c>
      <c r="M61" s="82" t="str">
        <f>IF(OR($L$6="",$L$7=""),"",IF($B61="","",IF(ISNA(VLOOKUP($B61,'LT02'!$B$11:$N$80,13,FALSE)),"",VLOOKUP($B61,'LT02'!$B$11:$N$80,13,FALSE))))</f>
        <v/>
      </c>
      <c r="N61" s="83"/>
      <c r="O61" s="84" t="str">
        <f>IF(OR($L$6="",$L$7=""),"",IF($B61="","",IF(ISNA(VLOOKUP($B61,'LT02'!$B$11:$Q$80,16,FALSE)),"",VLOOKUP($B61,'LT02'!$B$11:$Q$80,16,FALSE))))</f>
        <v/>
      </c>
      <c r="P61" s="85" t="str">
        <f>IF(OR($P$6="",$P$7=""),"",IF($B61="","",IF(ISNA(VLOOKUP($B61,'LT03'!$B$11:$M$80,12,FALSE)),"",IF(VLOOKUP($B61,'LT03'!$B$11:$M$80,12,FALSE)="","",VLOOKUP($B61,'LT03'!$B$11:$M$80,12,FALSE)))))</f>
        <v/>
      </c>
      <c r="Q61" s="82" t="str">
        <f>IF(OR($P$6="",$P$7=""),"",IF($B61="","",IF(ISNA(VLOOKUP($B61,'LT03'!$B$11:$N$80,13,FALSE)),"",VLOOKUP($B61,'LT03'!$B$11:$N$80,13,FALSE))))</f>
        <v/>
      </c>
      <c r="R61" s="83"/>
      <c r="S61" s="84" t="str">
        <f>IF(OR($P$6="",$P$7=""),"",IF($B61="","",IF(ISNA(VLOOKUP($B61,'LT03'!$B$11:$Q$80,16,FALSE)),"",VLOOKUP($B61,'LT03'!$B$11:$Q$80,16,FALSE))))</f>
        <v/>
      </c>
      <c r="T61" s="85" t="str">
        <f>IF(OR($T$6="",$T$7=""),"",IF($B61="","",IF(ISNA(VLOOKUP($B61,'LT04'!$B$11:$M$80,12,FALSE)),"",IF(VLOOKUP($B61,'LT04'!$B$11:$M$80,12,FALSE)="","",VLOOKUP($B61,'LT04'!$B$11:$M$80,12,FALSE)))))</f>
        <v/>
      </c>
      <c r="U61" s="82" t="str">
        <f>IF(OR($T$6="",$T$7=""),"",IF($B61="","",IF(ISNA(VLOOKUP($B61,'LT04'!$B$11:$N$80,13,FALSE)),"",VLOOKUP($B61,'LT04'!$B$11:$N$80,13,FALSE))))</f>
        <v/>
      </c>
      <c r="V61" s="83"/>
      <c r="W61" s="84" t="str">
        <f>IF(OR($T$6="",$T$7=""),"",IF($B61="","",IF(ISNA(VLOOKUP($B61,'LT04'!$B$11:$Q$80,16,FALSE)),"",VLOOKUP($B61,'LT04'!$B$11:$Q$80,16,FALSE))))</f>
        <v/>
      </c>
      <c r="X61" s="85" t="str">
        <f>IF(OR($X$6="",$X$7=""),"",IF($B61="","",IF(ISNA(VLOOKUP($B61,'LT05'!$B$11:$M$80,12,FALSE)),"",IF(VLOOKUP($B61,'LT05'!$B$11:$M$80,12,FALSE)="","",VLOOKUP($B61,'LT05'!$B$11:$M$80,12,FALSE)))))</f>
        <v/>
      </c>
      <c r="Y61" s="82" t="str">
        <f>IF(OR($X$6="",$X$7=""),"",IF($B61="","",IF(ISNA(VLOOKUP($B61,'LT05'!$B$11:$N$80,13,FALSE)),"",VLOOKUP($B61,'LT05'!$B$11:$N$80,13,FALSE))))</f>
        <v/>
      </c>
      <c r="Z61" s="83"/>
      <c r="AA61" s="84" t="str">
        <f>IF(OR($X$6="",$X$7=""),"",IF($B61="","",IF(ISNA(VLOOKUP($B61,'LT05'!$B$11:$Q$80,16,FALSE)),"",VLOOKUP($B61,'LT05'!$B$11:$Q$80,16,FALSE))))</f>
        <v/>
      </c>
      <c r="AB61" s="85" t="str">
        <f>IF(OR($AB$6="",$AB$7=""),"",IF($B61="","",IF(ISNA(VLOOKUP($B61,'LT06'!$B$11:$M$80,12,FALSE)),"",IF(VLOOKUP($B61,'LT06'!$B$11:$M$80,12,FALSE)="","",VLOOKUP($B61,'LT06'!$B$11:$M$80,12,FALSE)))))</f>
        <v/>
      </c>
      <c r="AC61" s="82" t="str">
        <f>IF(OR($AB$6="",$AB$7=""),"",IF($B61="","",IF(ISNA(VLOOKUP($B61,'LT06'!$B$11:$N$80,13,FALSE)),"",VLOOKUP($B61,'LT06'!$B$11:$N$80,13,FALSE))))</f>
        <v/>
      </c>
      <c r="AD61" s="83"/>
      <c r="AE61" s="84" t="str">
        <f>IF(OR($AB$6="",$AB$7=""),"",IF($B61="","",IF(ISNA(VLOOKUP($B61,'LT06'!$B$11:$Q$80,16,FALSE)),"",VLOOKUP($B61,'LT06'!$B$11:$Q$80,16,FALSE))))</f>
        <v/>
      </c>
      <c r="AF61" s="85" t="str">
        <f>IF(OR($AF$6="",$AF$7=""),"",IF($B61="","",IF(ISNA(VLOOKUP($B61,'LT07'!$B$11:$M$80,12,FALSE)),"",IF(VLOOKUP($B61,'LT07'!$B$11:$M$80,12,FALSE)="","",VLOOKUP($B61,'LT07'!$B$11:$M$80,12,FALSE)))))</f>
        <v/>
      </c>
      <c r="AG61" s="82" t="str">
        <f>IF(OR($AF$6="",$AF$7=""),"",IF($B61="","",IF(ISNA(VLOOKUP($B61,'LT07'!$B$11:$N$80,13,FALSE)),"",VLOOKUP($B61,'LT07'!$B$11:$N$80,13,FALSE))))</f>
        <v/>
      </c>
      <c r="AH61" s="83"/>
      <c r="AI61" s="84" t="str">
        <f>IF(OR($AF$6="",$AF$7=""),"",IF($B61="","",IF(ISNA(VLOOKUP($B61,'LT07'!$B$11:$Q$80,16,FALSE)),"",VLOOKUP($B61,'LT07'!$B$11:$Q$80,16,FALSE))))</f>
        <v/>
      </c>
      <c r="AJ61" s="304"/>
      <c r="AK61" s="82" t="str">
        <f>IF(OR($AJ$6="",$AJ$7=""),"",IF($B61="","",IF(ISNA(VLOOKUP($B61,'DO AN'!$B$11:$L$80,11,FALSE)),"",IF(VLOOKUP($B61,'DO AN'!$B$11:$L$80,11,FALSE)="","",VLOOKUP($B61,'DO AN'!$B$11:$L$80,11,FALSE)))))</f>
        <v/>
      </c>
      <c r="AL61" s="83"/>
      <c r="AM61" s="451"/>
      <c r="AN61" s="83"/>
      <c r="AO61" s="82" t="str">
        <f>IF(OR($AN$6="",$AN$7=""),"",IF($B61="","",IF(ISNA(VLOOKUP($B61,'DO AN 2'!$B$11:$L$80,11,FALSE)),"",IF(VLOOKUP($B61,'DO AN 2'!$B$11:$L$80,11,FALSE)="","",VLOOKUP($B61,'DO AN 2'!$B$11:$L$80,11,FALSE)))))</f>
        <v/>
      </c>
      <c r="AP61" s="83"/>
      <c r="AQ61" s="83"/>
      <c r="AR61" s="454"/>
      <c r="AS61" s="82" t="str">
        <f>IF(OR($AR$6="",$AR$7=""),"",IF($B61="","",IF(ISNA(VLOOKUP($B61,'TH01'!$B$11:$O$80,14,FALSE)),"",VLOOKUP($B61,'TH01'!$B$11:$O$80,14,FALSE))))</f>
        <v/>
      </c>
      <c r="AT61" s="83"/>
      <c r="AU61" s="303"/>
      <c r="AV61" s="304"/>
      <c r="AW61" s="82" t="str">
        <f>IF(OR($AV$6="",$AV$7=""),"",IF($B61="","",IF(ISNA(VLOOKUP($B61,'TH02'!$B$11:$O$80,14,FALSE)),"",VLOOKUP($B61,'TH02'!$B$11:$O$80,14,FALSE))))</f>
        <v/>
      </c>
      <c r="AX61" s="83"/>
      <c r="AY61" s="303"/>
      <c r="AZ61" s="304"/>
      <c r="BA61" s="82" t="str">
        <f>IF(OR($AZ$6="",$AZ$7=""),"",IF($B61="","",IF(ISNA(VLOOKUP($B61,'TH03'!$B$11:$O$80,14,FALSE)),"",VLOOKUP($B61,'TH03'!$B$11:$O$80,14,FALSE))))</f>
        <v/>
      </c>
      <c r="BB61" s="83"/>
      <c r="BC61" s="303"/>
      <c r="BD61" s="86" t="str">
        <f t="shared" si="11"/>
        <v/>
      </c>
      <c r="BE61" s="86" t="str">
        <f t="shared" si="12"/>
        <v/>
      </c>
      <c r="BF61" s="87"/>
      <c r="BG61" s="88" t="str">
        <f t="shared" si="92"/>
        <v/>
      </c>
      <c r="BH61" s="88" t="str">
        <f t="shared" si="93"/>
        <v/>
      </c>
      <c r="BI61" s="87"/>
      <c r="BJ61" s="86" t="str">
        <f t="shared" si="94"/>
        <v/>
      </c>
      <c r="BK61" s="265" t="str">
        <f t="shared" si="95"/>
        <v/>
      </c>
      <c r="BL61" s="88" t="str">
        <f t="shared" si="96"/>
        <v/>
      </c>
      <c r="BM61" s="88" t="str">
        <f t="shared" si="97"/>
        <v/>
      </c>
      <c r="BN61" s="88" t="str">
        <f t="shared" si="98"/>
        <v/>
      </c>
      <c r="BO61" s="86" t="str">
        <f t="shared" si="13"/>
        <v/>
      </c>
      <c r="BP61" s="86" t="str">
        <f t="shared" si="99"/>
        <v/>
      </c>
      <c r="BQ61" s="86" t="str">
        <f t="shared" si="14"/>
        <v/>
      </c>
      <c r="BR61" s="86" t="str">
        <f t="shared" si="100"/>
        <v/>
      </c>
      <c r="BS61" s="87"/>
      <c r="BT61" s="276" t="str">
        <f t="shared" si="15"/>
        <v/>
      </c>
      <c r="BU61" s="238" t="str">
        <f t="shared" si="16"/>
        <v/>
      </c>
      <c r="BV61" s="238" t="str">
        <f t="shared" si="17"/>
        <v/>
      </c>
      <c r="BW61" s="238" t="str">
        <f t="shared" si="18"/>
        <v/>
      </c>
      <c r="BX61" s="238" t="str">
        <f t="shared" si="19"/>
        <v/>
      </c>
      <c r="BY61" s="238" t="str">
        <f t="shared" si="20"/>
        <v/>
      </c>
      <c r="BZ61" s="238" t="str">
        <f t="shared" si="21"/>
        <v/>
      </c>
      <c r="CA61" s="238" t="str">
        <f t="shared" si="22"/>
        <v/>
      </c>
      <c r="CB61" s="238" t="str">
        <f t="shared" si="23"/>
        <v/>
      </c>
      <c r="CC61" s="238" t="str">
        <f t="shared" si="24"/>
        <v/>
      </c>
      <c r="CD61" s="238" t="str">
        <f t="shared" si="25"/>
        <v/>
      </c>
      <c r="CE61" s="238" t="str">
        <f t="shared" si="26"/>
        <v/>
      </c>
      <c r="CF61" s="238" t="str">
        <f t="shared" si="27"/>
        <v/>
      </c>
      <c r="CG61" s="239" t="str">
        <f t="shared" si="28"/>
        <v/>
      </c>
      <c r="CH61" s="238" t="str">
        <f t="shared" si="29"/>
        <v/>
      </c>
      <c r="CI61" s="238" t="str">
        <f t="shared" si="30"/>
        <v/>
      </c>
      <c r="CJ61" s="238" t="str">
        <f t="shared" si="31"/>
        <v/>
      </c>
      <c r="CK61" s="238" t="str">
        <f t="shared" si="32"/>
        <v/>
      </c>
      <c r="CL61" s="238" t="str">
        <f t="shared" si="33"/>
        <v/>
      </c>
      <c r="CM61" s="238" t="str">
        <f t="shared" si="34"/>
        <v/>
      </c>
      <c r="CN61" s="238" t="str">
        <f t="shared" si="35"/>
        <v/>
      </c>
      <c r="CO61" s="238" t="str">
        <f t="shared" si="36"/>
        <v/>
      </c>
      <c r="CP61" s="238" t="str">
        <f t="shared" si="37"/>
        <v/>
      </c>
      <c r="CQ61" s="238" t="str">
        <f t="shared" si="38"/>
        <v/>
      </c>
      <c r="CR61" s="238" t="str">
        <f t="shared" si="39"/>
        <v/>
      </c>
      <c r="CS61" s="238" t="str">
        <f t="shared" si="40"/>
        <v/>
      </c>
      <c r="CT61" s="240" t="str">
        <f t="shared" si="41"/>
        <v/>
      </c>
      <c r="CU61" s="241" t="str">
        <f t="shared" si="42"/>
        <v/>
      </c>
      <c r="CV61" s="241" t="str">
        <f t="shared" si="43"/>
        <v/>
      </c>
      <c r="CW61" s="241" t="str">
        <f t="shared" si="44"/>
        <v/>
      </c>
      <c r="CX61" s="241" t="str">
        <f t="shared" si="45"/>
        <v/>
      </c>
      <c r="CY61" s="241" t="str">
        <f t="shared" si="46"/>
        <v/>
      </c>
      <c r="CZ61" s="241" t="str">
        <f t="shared" si="47"/>
        <v/>
      </c>
      <c r="DA61" s="241" t="str">
        <f t="shared" si="48"/>
        <v/>
      </c>
      <c r="DB61" s="241" t="str">
        <f t="shared" si="49"/>
        <v/>
      </c>
      <c r="DC61" s="241" t="str">
        <f t="shared" si="50"/>
        <v/>
      </c>
      <c r="DD61" s="241" t="str">
        <f t="shared" si="51"/>
        <v/>
      </c>
      <c r="DE61" s="241" t="str">
        <f t="shared" si="52"/>
        <v/>
      </c>
      <c r="DF61" s="241" t="str">
        <f t="shared" si="53"/>
        <v/>
      </c>
      <c r="DG61" s="242" t="str">
        <f t="shared" si="101"/>
        <v/>
      </c>
      <c r="DH61" s="82" t="str">
        <f t="shared" si="54"/>
        <v/>
      </c>
      <c r="DI61" s="82" t="str">
        <f t="shared" si="55"/>
        <v/>
      </c>
      <c r="DJ61" s="82" t="str">
        <f t="shared" si="56"/>
        <v/>
      </c>
      <c r="DK61" s="82" t="str">
        <f t="shared" si="57"/>
        <v/>
      </c>
      <c r="DL61" s="82" t="str">
        <f t="shared" si="58"/>
        <v/>
      </c>
      <c r="DM61" s="82" t="str">
        <f t="shared" si="59"/>
        <v/>
      </c>
      <c r="DN61" s="82" t="str">
        <f t="shared" si="60"/>
        <v/>
      </c>
      <c r="DO61" s="82" t="str">
        <f t="shared" si="61"/>
        <v/>
      </c>
      <c r="DP61" s="82" t="str">
        <f t="shared" si="62"/>
        <v/>
      </c>
      <c r="DQ61" s="82" t="str">
        <f t="shared" si="63"/>
        <v/>
      </c>
      <c r="DR61" s="82" t="str">
        <f t="shared" si="64"/>
        <v/>
      </c>
      <c r="DS61" s="253" t="str">
        <f t="shared" si="65"/>
        <v/>
      </c>
      <c r="DT61" s="250" t="str">
        <f t="shared" si="66"/>
        <v/>
      </c>
      <c r="DU61" s="238" t="str">
        <f t="shared" si="67"/>
        <v/>
      </c>
      <c r="DV61" s="238" t="str">
        <f t="shared" si="68"/>
        <v/>
      </c>
      <c r="DW61" s="238" t="str">
        <f t="shared" si="69"/>
        <v/>
      </c>
      <c r="DX61" s="238" t="str">
        <f t="shared" si="70"/>
        <v/>
      </c>
      <c r="DY61" s="238" t="str">
        <f t="shared" si="71"/>
        <v/>
      </c>
      <c r="DZ61" s="238" t="str">
        <f t="shared" si="72"/>
        <v/>
      </c>
      <c r="EA61" s="238" t="str">
        <f t="shared" si="73"/>
        <v/>
      </c>
      <c r="EB61" s="238" t="str">
        <f t="shared" si="74"/>
        <v/>
      </c>
      <c r="EC61" s="238" t="str">
        <f t="shared" si="75"/>
        <v/>
      </c>
      <c r="ED61" s="238" t="str">
        <f t="shared" si="76"/>
        <v/>
      </c>
      <c r="EE61" s="238" t="str">
        <f t="shared" si="77"/>
        <v/>
      </c>
      <c r="EF61" s="255" t="str">
        <f t="shared" si="78"/>
        <v/>
      </c>
      <c r="EG61" s="257" t="str">
        <f t="shared" si="79"/>
        <v/>
      </c>
      <c r="EH61" s="257" t="str">
        <f t="shared" si="80"/>
        <v/>
      </c>
      <c r="EI61" s="257" t="str">
        <f t="shared" si="81"/>
        <v/>
      </c>
      <c r="EJ61" s="257" t="str">
        <f t="shared" si="82"/>
        <v/>
      </c>
      <c r="EK61" s="257" t="str">
        <f t="shared" si="83"/>
        <v/>
      </c>
      <c r="EL61" s="257" t="str">
        <f t="shared" si="84"/>
        <v/>
      </c>
      <c r="EM61" s="257" t="str">
        <f t="shared" si="85"/>
        <v/>
      </c>
      <c r="EN61" s="257" t="str">
        <f t="shared" si="86"/>
        <v/>
      </c>
      <c r="EO61" s="257" t="str">
        <f t="shared" si="87"/>
        <v/>
      </c>
      <c r="EP61" s="257" t="str">
        <f t="shared" si="88"/>
        <v/>
      </c>
      <c r="EQ61" s="257" t="str">
        <f t="shared" si="89"/>
        <v/>
      </c>
      <c r="ER61" s="257" t="str">
        <f t="shared" si="90"/>
        <v/>
      </c>
      <c r="ES61" s="262" t="str">
        <f t="shared" si="102"/>
        <v/>
      </c>
      <c r="ET61" s="307" t="str">
        <f t="shared" si="91"/>
        <v/>
      </c>
      <c r="EX61" s="89"/>
    </row>
    <row r="62" spans="1:154" s="90" customFormat="1" ht="30" customHeight="1">
      <c r="A62" s="272" t="str">
        <f>IF($B62="","",SUBTOTAL(3,$B$11:B62))</f>
        <v/>
      </c>
      <c r="B62" s="457"/>
      <c r="C62" s="76" t="str">
        <f>IF($B62="","",VLOOKUP($B62,'DS LOP HKI'!$B$2:$D$951,2,0))</f>
        <v/>
      </c>
      <c r="D62" s="77" t="str">
        <f>IF($B62="","",VLOOKUP($B62,'DS LOP HKI'!$B$2:$D$951,3,0))</f>
        <v/>
      </c>
      <c r="E62" s="78"/>
      <c r="F62" s="79"/>
      <c r="G62" s="80"/>
      <c r="H62" s="81" t="str">
        <f>IF(OR($H$6="",$H$7=""),"",IF($B62="","",IF(ISNA(VLOOKUP($B62,'LT01'!$B$11:$M$80,12,FALSE)),"",IF(VLOOKUP($B62,'LT01'!$B$11:$M$80,12,FALSE)="","",VLOOKUP($B62,'LT01'!$B$11:$M$80,12,FALSE)))))</f>
        <v/>
      </c>
      <c r="I62" s="82" t="str">
        <f>IF(OR($H$6="",$H$7=""),"",IF($B62="","",IF(ISNA(VLOOKUP($B62,'LT01'!$B$11:$N$80,13,FALSE)),"",VLOOKUP($B62,'LT01'!$B$11:$N$80,13,FALSE))))</f>
        <v/>
      </c>
      <c r="J62" s="83"/>
      <c r="K62" s="84" t="str">
        <f>IF(OR($H$6="",$H$7=""),"",IF($B62="","",IF(ISNA(VLOOKUP($B62,'LT01'!$B$11:$Q$80,16,FALSE)),"",IF(VLOOKUP($B62,'LT01'!$B$11:$Q$80,16,FALSE)="","",VLOOKUP($B62,'LT01'!$B$11:$Q$80,16,FALSE)))))</f>
        <v/>
      </c>
      <c r="L62" s="85" t="str">
        <f>IF(OR($L$6="",$L$7=""),"",IF($B62="","",IF(ISNA(VLOOKUP($B62,'LT02'!$B$11:$M$80,12,FALSE)),"",IF(VLOOKUP($B62,'LT02'!$B$11:$M$80,12,FALSE)="","",VLOOKUP($B62,'LT02'!$B$11:$M$80,12,FALSE)))))</f>
        <v/>
      </c>
      <c r="M62" s="82" t="str">
        <f>IF(OR($L$6="",$L$7=""),"",IF($B62="","",IF(ISNA(VLOOKUP($B62,'LT02'!$B$11:$N$80,13,FALSE)),"",VLOOKUP($B62,'LT02'!$B$11:$N$80,13,FALSE))))</f>
        <v/>
      </c>
      <c r="N62" s="83"/>
      <c r="O62" s="84" t="str">
        <f>IF(OR($L$6="",$L$7=""),"",IF($B62="","",IF(ISNA(VLOOKUP($B62,'LT02'!$B$11:$Q$80,16,FALSE)),"",VLOOKUP($B62,'LT02'!$B$11:$Q$80,16,FALSE))))</f>
        <v/>
      </c>
      <c r="P62" s="85" t="str">
        <f>IF(OR($P$6="",$P$7=""),"",IF($B62="","",IF(ISNA(VLOOKUP($B62,'LT03'!$B$11:$M$80,12,FALSE)),"",IF(VLOOKUP($B62,'LT03'!$B$11:$M$80,12,FALSE)="","",VLOOKUP($B62,'LT03'!$B$11:$M$80,12,FALSE)))))</f>
        <v/>
      </c>
      <c r="Q62" s="82" t="str">
        <f>IF(OR($P$6="",$P$7=""),"",IF($B62="","",IF(ISNA(VLOOKUP($B62,'LT03'!$B$11:$N$80,13,FALSE)),"",VLOOKUP($B62,'LT03'!$B$11:$N$80,13,FALSE))))</f>
        <v/>
      </c>
      <c r="R62" s="83"/>
      <c r="S62" s="84" t="str">
        <f>IF(OR($P$6="",$P$7=""),"",IF($B62="","",IF(ISNA(VLOOKUP($B62,'LT03'!$B$11:$Q$80,16,FALSE)),"",VLOOKUP($B62,'LT03'!$B$11:$Q$80,16,FALSE))))</f>
        <v/>
      </c>
      <c r="T62" s="85" t="str">
        <f>IF(OR($T$6="",$T$7=""),"",IF($B62="","",IF(ISNA(VLOOKUP($B62,'LT04'!$B$11:$M$80,12,FALSE)),"",IF(VLOOKUP($B62,'LT04'!$B$11:$M$80,12,FALSE)="","",VLOOKUP($B62,'LT04'!$B$11:$M$80,12,FALSE)))))</f>
        <v/>
      </c>
      <c r="U62" s="82" t="str">
        <f>IF(OR($T$6="",$T$7=""),"",IF($B62="","",IF(ISNA(VLOOKUP($B62,'LT04'!$B$11:$N$80,13,FALSE)),"",VLOOKUP($B62,'LT04'!$B$11:$N$80,13,FALSE))))</f>
        <v/>
      </c>
      <c r="V62" s="83"/>
      <c r="W62" s="84" t="str">
        <f>IF(OR($T$6="",$T$7=""),"",IF($B62="","",IF(ISNA(VLOOKUP($B62,'LT04'!$B$11:$Q$80,16,FALSE)),"",VLOOKUP($B62,'LT04'!$B$11:$Q$80,16,FALSE))))</f>
        <v/>
      </c>
      <c r="X62" s="85" t="str">
        <f>IF(OR($X$6="",$X$7=""),"",IF($B62="","",IF(ISNA(VLOOKUP($B62,'LT05'!$B$11:$M$80,12,FALSE)),"",IF(VLOOKUP($B62,'LT05'!$B$11:$M$80,12,FALSE)="","",VLOOKUP($B62,'LT05'!$B$11:$M$80,12,FALSE)))))</f>
        <v/>
      </c>
      <c r="Y62" s="82" t="str">
        <f>IF(OR($X$6="",$X$7=""),"",IF($B62="","",IF(ISNA(VLOOKUP($B62,'LT05'!$B$11:$N$80,13,FALSE)),"",VLOOKUP($B62,'LT05'!$B$11:$N$80,13,FALSE))))</f>
        <v/>
      </c>
      <c r="Z62" s="83"/>
      <c r="AA62" s="84" t="str">
        <f>IF(OR($X$6="",$X$7=""),"",IF($B62="","",IF(ISNA(VLOOKUP($B62,'LT05'!$B$11:$Q$80,16,FALSE)),"",VLOOKUP($B62,'LT05'!$B$11:$Q$80,16,FALSE))))</f>
        <v/>
      </c>
      <c r="AB62" s="85" t="str">
        <f>IF(OR($AB$6="",$AB$7=""),"",IF($B62="","",IF(ISNA(VLOOKUP($B62,'LT06'!$B$11:$M$80,12,FALSE)),"",IF(VLOOKUP($B62,'LT06'!$B$11:$M$80,12,FALSE)="","",VLOOKUP($B62,'LT06'!$B$11:$M$80,12,FALSE)))))</f>
        <v/>
      </c>
      <c r="AC62" s="82" t="str">
        <f>IF(OR($AB$6="",$AB$7=""),"",IF($B62="","",IF(ISNA(VLOOKUP($B62,'LT06'!$B$11:$N$80,13,FALSE)),"",VLOOKUP($B62,'LT06'!$B$11:$N$80,13,FALSE))))</f>
        <v/>
      </c>
      <c r="AD62" s="83"/>
      <c r="AE62" s="84" t="str">
        <f>IF(OR($AB$6="",$AB$7=""),"",IF($B62="","",IF(ISNA(VLOOKUP($B62,'LT06'!$B$11:$Q$80,16,FALSE)),"",VLOOKUP($B62,'LT06'!$B$11:$Q$80,16,FALSE))))</f>
        <v/>
      </c>
      <c r="AF62" s="85" t="str">
        <f>IF(OR($AF$6="",$AF$7=""),"",IF($B62="","",IF(ISNA(VLOOKUP($B62,'LT07'!$B$11:$M$80,12,FALSE)),"",IF(VLOOKUP($B62,'LT07'!$B$11:$M$80,12,FALSE)="","",VLOOKUP($B62,'LT07'!$B$11:$M$80,12,FALSE)))))</f>
        <v/>
      </c>
      <c r="AG62" s="82" t="str">
        <f>IF(OR($AF$6="",$AF$7=""),"",IF($B62="","",IF(ISNA(VLOOKUP($B62,'LT07'!$B$11:$N$80,13,FALSE)),"",VLOOKUP($B62,'LT07'!$B$11:$N$80,13,FALSE))))</f>
        <v/>
      </c>
      <c r="AH62" s="83"/>
      <c r="AI62" s="84" t="str">
        <f>IF(OR($AF$6="",$AF$7=""),"",IF($B62="","",IF(ISNA(VLOOKUP($B62,'LT07'!$B$11:$Q$80,16,FALSE)),"",VLOOKUP($B62,'LT07'!$B$11:$Q$80,16,FALSE))))</f>
        <v/>
      </c>
      <c r="AJ62" s="304"/>
      <c r="AK62" s="82" t="str">
        <f>IF(OR($AJ$6="",$AJ$7=""),"",IF($B62="","",IF(ISNA(VLOOKUP($B62,'DO AN'!$B$11:$L$80,11,FALSE)),"",IF(VLOOKUP($B62,'DO AN'!$B$11:$L$80,11,FALSE)="","",VLOOKUP($B62,'DO AN'!$B$11:$L$80,11,FALSE)))))</f>
        <v/>
      </c>
      <c r="AL62" s="83"/>
      <c r="AM62" s="451"/>
      <c r="AN62" s="83"/>
      <c r="AO62" s="82" t="str">
        <f>IF(OR($AN$6="",$AN$7=""),"",IF($B62="","",IF(ISNA(VLOOKUP($B62,'DO AN 2'!$B$11:$L$80,11,FALSE)),"",IF(VLOOKUP($B62,'DO AN 2'!$B$11:$L$80,11,FALSE)="","",VLOOKUP($B62,'DO AN 2'!$B$11:$L$80,11,FALSE)))))</f>
        <v/>
      </c>
      <c r="AP62" s="83"/>
      <c r="AQ62" s="83"/>
      <c r="AR62" s="454"/>
      <c r="AS62" s="82" t="str">
        <f>IF(OR($AR$6="",$AR$7=""),"",IF($B62="","",IF(ISNA(VLOOKUP($B62,'TH01'!$B$11:$O$80,14,FALSE)),"",VLOOKUP($B62,'TH01'!$B$11:$O$80,14,FALSE))))</f>
        <v/>
      </c>
      <c r="AT62" s="83"/>
      <c r="AU62" s="303"/>
      <c r="AV62" s="304"/>
      <c r="AW62" s="82" t="str">
        <f>IF(OR($AV$6="",$AV$7=""),"",IF($B62="","",IF(ISNA(VLOOKUP($B62,'TH02'!$B$11:$O$80,14,FALSE)),"",VLOOKUP($B62,'TH02'!$B$11:$O$80,14,FALSE))))</f>
        <v/>
      </c>
      <c r="AX62" s="83"/>
      <c r="AY62" s="303"/>
      <c r="AZ62" s="304"/>
      <c r="BA62" s="82" t="str">
        <f>IF(OR($AZ$6="",$AZ$7=""),"",IF($B62="","",IF(ISNA(VLOOKUP($B62,'TH03'!$B$11:$O$80,14,FALSE)),"",VLOOKUP($B62,'TH03'!$B$11:$O$80,14,FALSE))))</f>
        <v/>
      </c>
      <c r="BB62" s="83"/>
      <c r="BC62" s="303"/>
      <c r="BD62" s="86" t="str">
        <f t="shared" si="11"/>
        <v/>
      </c>
      <c r="BE62" s="86" t="str">
        <f t="shared" si="12"/>
        <v/>
      </c>
      <c r="BF62" s="87"/>
      <c r="BG62" s="88" t="str">
        <f t="shared" si="92"/>
        <v/>
      </c>
      <c r="BH62" s="88" t="str">
        <f t="shared" si="93"/>
        <v/>
      </c>
      <c r="BI62" s="87"/>
      <c r="BJ62" s="86" t="str">
        <f t="shared" si="94"/>
        <v/>
      </c>
      <c r="BK62" s="265" t="str">
        <f t="shared" si="95"/>
        <v/>
      </c>
      <c r="BL62" s="88" t="str">
        <f t="shared" si="96"/>
        <v/>
      </c>
      <c r="BM62" s="88" t="str">
        <f t="shared" si="97"/>
        <v/>
      </c>
      <c r="BN62" s="88" t="str">
        <f t="shared" si="98"/>
        <v/>
      </c>
      <c r="BO62" s="86" t="str">
        <f t="shared" si="13"/>
        <v/>
      </c>
      <c r="BP62" s="86" t="str">
        <f t="shared" si="99"/>
        <v/>
      </c>
      <c r="BQ62" s="86" t="str">
        <f t="shared" si="14"/>
        <v/>
      </c>
      <c r="BR62" s="86" t="str">
        <f t="shared" si="100"/>
        <v/>
      </c>
      <c r="BS62" s="87"/>
      <c r="BT62" s="276" t="str">
        <f t="shared" si="15"/>
        <v/>
      </c>
      <c r="BU62" s="238" t="str">
        <f t="shared" si="16"/>
        <v/>
      </c>
      <c r="BV62" s="238" t="str">
        <f t="shared" si="17"/>
        <v/>
      </c>
      <c r="BW62" s="238" t="str">
        <f t="shared" si="18"/>
        <v/>
      </c>
      <c r="BX62" s="238" t="str">
        <f t="shared" si="19"/>
        <v/>
      </c>
      <c r="BY62" s="238" t="str">
        <f t="shared" si="20"/>
        <v/>
      </c>
      <c r="BZ62" s="238" t="str">
        <f t="shared" si="21"/>
        <v/>
      </c>
      <c r="CA62" s="238" t="str">
        <f t="shared" si="22"/>
        <v/>
      </c>
      <c r="CB62" s="238" t="str">
        <f t="shared" si="23"/>
        <v/>
      </c>
      <c r="CC62" s="238" t="str">
        <f t="shared" si="24"/>
        <v/>
      </c>
      <c r="CD62" s="238" t="str">
        <f t="shared" si="25"/>
        <v/>
      </c>
      <c r="CE62" s="238" t="str">
        <f t="shared" si="26"/>
        <v/>
      </c>
      <c r="CF62" s="238" t="str">
        <f t="shared" si="27"/>
        <v/>
      </c>
      <c r="CG62" s="239" t="str">
        <f t="shared" si="28"/>
        <v/>
      </c>
      <c r="CH62" s="238" t="str">
        <f t="shared" si="29"/>
        <v/>
      </c>
      <c r="CI62" s="238" t="str">
        <f t="shared" si="30"/>
        <v/>
      </c>
      <c r="CJ62" s="238" t="str">
        <f t="shared" si="31"/>
        <v/>
      </c>
      <c r="CK62" s="238" t="str">
        <f t="shared" si="32"/>
        <v/>
      </c>
      <c r="CL62" s="238" t="str">
        <f t="shared" si="33"/>
        <v/>
      </c>
      <c r="CM62" s="238" t="str">
        <f t="shared" si="34"/>
        <v/>
      </c>
      <c r="CN62" s="238" t="str">
        <f t="shared" si="35"/>
        <v/>
      </c>
      <c r="CO62" s="238" t="str">
        <f t="shared" si="36"/>
        <v/>
      </c>
      <c r="CP62" s="238" t="str">
        <f t="shared" si="37"/>
        <v/>
      </c>
      <c r="CQ62" s="238" t="str">
        <f t="shared" si="38"/>
        <v/>
      </c>
      <c r="CR62" s="238" t="str">
        <f t="shared" si="39"/>
        <v/>
      </c>
      <c r="CS62" s="238" t="str">
        <f t="shared" si="40"/>
        <v/>
      </c>
      <c r="CT62" s="240" t="str">
        <f t="shared" si="41"/>
        <v/>
      </c>
      <c r="CU62" s="241" t="str">
        <f t="shared" si="42"/>
        <v/>
      </c>
      <c r="CV62" s="241" t="str">
        <f t="shared" si="43"/>
        <v/>
      </c>
      <c r="CW62" s="241" t="str">
        <f t="shared" si="44"/>
        <v/>
      </c>
      <c r="CX62" s="241" t="str">
        <f t="shared" si="45"/>
        <v/>
      </c>
      <c r="CY62" s="241" t="str">
        <f t="shared" si="46"/>
        <v/>
      </c>
      <c r="CZ62" s="241" t="str">
        <f t="shared" si="47"/>
        <v/>
      </c>
      <c r="DA62" s="241" t="str">
        <f t="shared" si="48"/>
        <v/>
      </c>
      <c r="DB62" s="241" t="str">
        <f t="shared" si="49"/>
        <v/>
      </c>
      <c r="DC62" s="241" t="str">
        <f t="shared" si="50"/>
        <v/>
      </c>
      <c r="DD62" s="241" t="str">
        <f t="shared" si="51"/>
        <v/>
      </c>
      <c r="DE62" s="241" t="str">
        <f t="shared" si="52"/>
        <v/>
      </c>
      <c r="DF62" s="241" t="str">
        <f t="shared" si="53"/>
        <v/>
      </c>
      <c r="DG62" s="242" t="str">
        <f t="shared" si="101"/>
        <v/>
      </c>
      <c r="DH62" s="82" t="str">
        <f t="shared" si="54"/>
        <v/>
      </c>
      <c r="DI62" s="82" t="str">
        <f t="shared" si="55"/>
        <v/>
      </c>
      <c r="DJ62" s="82" t="str">
        <f t="shared" si="56"/>
        <v/>
      </c>
      <c r="DK62" s="82" t="str">
        <f t="shared" si="57"/>
        <v/>
      </c>
      <c r="DL62" s="82" t="str">
        <f t="shared" si="58"/>
        <v/>
      </c>
      <c r="DM62" s="82" t="str">
        <f t="shared" si="59"/>
        <v/>
      </c>
      <c r="DN62" s="82" t="str">
        <f t="shared" si="60"/>
        <v/>
      </c>
      <c r="DO62" s="82" t="str">
        <f t="shared" si="61"/>
        <v/>
      </c>
      <c r="DP62" s="82" t="str">
        <f t="shared" si="62"/>
        <v/>
      </c>
      <c r="DQ62" s="82" t="str">
        <f t="shared" si="63"/>
        <v/>
      </c>
      <c r="DR62" s="82" t="str">
        <f t="shared" si="64"/>
        <v/>
      </c>
      <c r="DS62" s="253" t="str">
        <f t="shared" si="65"/>
        <v/>
      </c>
      <c r="DT62" s="250" t="str">
        <f t="shared" si="66"/>
        <v/>
      </c>
      <c r="DU62" s="238" t="str">
        <f t="shared" si="67"/>
        <v/>
      </c>
      <c r="DV62" s="238" t="str">
        <f t="shared" si="68"/>
        <v/>
      </c>
      <c r="DW62" s="238" t="str">
        <f t="shared" si="69"/>
        <v/>
      </c>
      <c r="DX62" s="238" t="str">
        <f t="shared" si="70"/>
        <v/>
      </c>
      <c r="DY62" s="238" t="str">
        <f t="shared" si="71"/>
        <v/>
      </c>
      <c r="DZ62" s="238" t="str">
        <f t="shared" si="72"/>
        <v/>
      </c>
      <c r="EA62" s="238" t="str">
        <f t="shared" si="73"/>
        <v/>
      </c>
      <c r="EB62" s="238" t="str">
        <f t="shared" si="74"/>
        <v/>
      </c>
      <c r="EC62" s="238" t="str">
        <f t="shared" si="75"/>
        <v/>
      </c>
      <c r="ED62" s="238" t="str">
        <f t="shared" si="76"/>
        <v/>
      </c>
      <c r="EE62" s="238" t="str">
        <f t="shared" si="77"/>
        <v/>
      </c>
      <c r="EF62" s="255" t="str">
        <f t="shared" si="78"/>
        <v/>
      </c>
      <c r="EG62" s="257" t="str">
        <f t="shared" si="79"/>
        <v/>
      </c>
      <c r="EH62" s="257" t="str">
        <f t="shared" si="80"/>
        <v/>
      </c>
      <c r="EI62" s="257" t="str">
        <f t="shared" si="81"/>
        <v/>
      </c>
      <c r="EJ62" s="257" t="str">
        <f t="shared" si="82"/>
        <v/>
      </c>
      <c r="EK62" s="257" t="str">
        <f t="shared" si="83"/>
        <v/>
      </c>
      <c r="EL62" s="257" t="str">
        <f t="shared" si="84"/>
        <v/>
      </c>
      <c r="EM62" s="257" t="str">
        <f t="shared" si="85"/>
        <v/>
      </c>
      <c r="EN62" s="257" t="str">
        <f t="shared" si="86"/>
        <v/>
      </c>
      <c r="EO62" s="257" t="str">
        <f t="shared" si="87"/>
        <v/>
      </c>
      <c r="EP62" s="257" t="str">
        <f t="shared" si="88"/>
        <v/>
      </c>
      <c r="EQ62" s="257" t="str">
        <f t="shared" si="89"/>
        <v/>
      </c>
      <c r="ER62" s="257" t="str">
        <f t="shared" si="90"/>
        <v/>
      </c>
      <c r="ES62" s="262" t="str">
        <f t="shared" si="102"/>
        <v/>
      </c>
      <c r="ET62" s="307" t="str">
        <f t="shared" si="91"/>
        <v/>
      </c>
      <c r="EX62" s="89"/>
    </row>
    <row r="63" spans="1:154" s="90" customFormat="1" ht="30" customHeight="1">
      <c r="A63" s="272" t="str">
        <f>IF($B63="","",SUBTOTAL(3,$B$11:B63))</f>
        <v/>
      </c>
      <c r="B63" s="457"/>
      <c r="C63" s="76" t="str">
        <f>IF($B63="","",VLOOKUP($B63,'DS LOP HKI'!$B$2:$D$951,2,0))</f>
        <v/>
      </c>
      <c r="D63" s="77" t="str">
        <f>IF($B63="","",VLOOKUP($B63,'DS LOP HKI'!$B$2:$D$951,3,0))</f>
        <v/>
      </c>
      <c r="E63" s="78"/>
      <c r="F63" s="79"/>
      <c r="G63" s="80"/>
      <c r="H63" s="81" t="str">
        <f>IF(OR($H$6="",$H$7=""),"",IF($B63="","",IF(ISNA(VLOOKUP($B63,'LT01'!$B$11:$M$80,12,FALSE)),"",IF(VLOOKUP($B63,'LT01'!$B$11:$M$80,12,FALSE)="","",VLOOKUP($B63,'LT01'!$B$11:$M$80,12,FALSE)))))</f>
        <v/>
      </c>
      <c r="I63" s="82" t="str">
        <f>IF(OR($H$6="",$H$7=""),"",IF($B63="","",IF(ISNA(VLOOKUP($B63,'LT01'!$B$11:$N$80,13,FALSE)),"",VLOOKUP($B63,'LT01'!$B$11:$N$80,13,FALSE))))</f>
        <v/>
      </c>
      <c r="J63" s="83"/>
      <c r="K63" s="84" t="str">
        <f>IF(OR($H$6="",$H$7=""),"",IF($B63="","",IF(ISNA(VLOOKUP($B63,'LT01'!$B$11:$Q$80,16,FALSE)),"",IF(VLOOKUP($B63,'LT01'!$B$11:$Q$80,16,FALSE)="","",VLOOKUP($B63,'LT01'!$B$11:$Q$80,16,FALSE)))))</f>
        <v/>
      </c>
      <c r="L63" s="85" t="str">
        <f>IF(OR($L$6="",$L$7=""),"",IF($B63="","",IF(ISNA(VLOOKUP($B63,'LT02'!$B$11:$M$80,12,FALSE)),"",IF(VLOOKUP($B63,'LT02'!$B$11:$M$80,12,FALSE)="","",VLOOKUP($B63,'LT02'!$B$11:$M$80,12,FALSE)))))</f>
        <v/>
      </c>
      <c r="M63" s="82" t="str">
        <f>IF(OR($L$6="",$L$7=""),"",IF($B63="","",IF(ISNA(VLOOKUP($B63,'LT02'!$B$11:$N$80,13,FALSE)),"",VLOOKUP($B63,'LT02'!$B$11:$N$80,13,FALSE))))</f>
        <v/>
      </c>
      <c r="N63" s="83"/>
      <c r="O63" s="84" t="str">
        <f>IF(OR($L$6="",$L$7=""),"",IF($B63="","",IF(ISNA(VLOOKUP($B63,'LT02'!$B$11:$Q$80,16,FALSE)),"",VLOOKUP($B63,'LT02'!$B$11:$Q$80,16,FALSE))))</f>
        <v/>
      </c>
      <c r="P63" s="85" t="str">
        <f>IF(OR($P$6="",$P$7=""),"",IF($B63="","",IF(ISNA(VLOOKUP($B63,'LT03'!$B$11:$M$80,12,FALSE)),"",IF(VLOOKUP($B63,'LT03'!$B$11:$M$80,12,FALSE)="","",VLOOKUP($B63,'LT03'!$B$11:$M$80,12,FALSE)))))</f>
        <v/>
      </c>
      <c r="Q63" s="82" t="str">
        <f>IF(OR($P$6="",$P$7=""),"",IF($B63="","",IF(ISNA(VLOOKUP($B63,'LT03'!$B$11:$N$80,13,FALSE)),"",VLOOKUP($B63,'LT03'!$B$11:$N$80,13,FALSE))))</f>
        <v/>
      </c>
      <c r="R63" s="83"/>
      <c r="S63" s="84" t="str">
        <f>IF(OR($P$6="",$P$7=""),"",IF($B63="","",IF(ISNA(VLOOKUP($B63,'LT03'!$B$11:$Q$80,16,FALSE)),"",VLOOKUP($B63,'LT03'!$B$11:$Q$80,16,FALSE))))</f>
        <v/>
      </c>
      <c r="T63" s="85" t="str">
        <f>IF(OR($T$6="",$T$7=""),"",IF($B63="","",IF(ISNA(VLOOKUP($B63,'LT04'!$B$11:$M$80,12,FALSE)),"",IF(VLOOKUP($B63,'LT04'!$B$11:$M$80,12,FALSE)="","",VLOOKUP($B63,'LT04'!$B$11:$M$80,12,FALSE)))))</f>
        <v/>
      </c>
      <c r="U63" s="82" t="str">
        <f>IF(OR($T$6="",$T$7=""),"",IF($B63="","",IF(ISNA(VLOOKUP($B63,'LT04'!$B$11:$N$80,13,FALSE)),"",VLOOKUP($B63,'LT04'!$B$11:$N$80,13,FALSE))))</f>
        <v/>
      </c>
      <c r="V63" s="83"/>
      <c r="W63" s="84" t="str">
        <f>IF(OR($T$6="",$T$7=""),"",IF($B63="","",IF(ISNA(VLOOKUP($B63,'LT04'!$B$11:$Q$80,16,FALSE)),"",VLOOKUP($B63,'LT04'!$B$11:$Q$80,16,FALSE))))</f>
        <v/>
      </c>
      <c r="X63" s="85" t="str">
        <f>IF(OR($X$6="",$X$7=""),"",IF($B63="","",IF(ISNA(VLOOKUP($B63,'LT05'!$B$11:$M$80,12,FALSE)),"",IF(VLOOKUP($B63,'LT05'!$B$11:$M$80,12,FALSE)="","",VLOOKUP($B63,'LT05'!$B$11:$M$80,12,FALSE)))))</f>
        <v/>
      </c>
      <c r="Y63" s="82" t="str">
        <f>IF(OR($X$6="",$X$7=""),"",IF($B63="","",IF(ISNA(VLOOKUP($B63,'LT05'!$B$11:$N$80,13,FALSE)),"",VLOOKUP($B63,'LT05'!$B$11:$N$80,13,FALSE))))</f>
        <v/>
      </c>
      <c r="Z63" s="83"/>
      <c r="AA63" s="84" t="str">
        <f>IF(OR($X$6="",$X$7=""),"",IF($B63="","",IF(ISNA(VLOOKUP($B63,'LT05'!$B$11:$Q$80,16,FALSE)),"",VLOOKUP($B63,'LT05'!$B$11:$Q$80,16,FALSE))))</f>
        <v/>
      </c>
      <c r="AB63" s="85" t="str">
        <f>IF(OR($AB$6="",$AB$7=""),"",IF($B63="","",IF(ISNA(VLOOKUP($B63,'LT06'!$B$11:$M$80,12,FALSE)),"",IF(VLOOKUP($B63,'LT06'!$B$11:$M$80,12,FALSE)="","",VLOOKUP($B63,'LT06'!$B$11:$M$80,12,FALSE)))))</f>
        <v/>
      </c>
      <c r="AC63" s="82" t="str">
        <f>IF(OR($AB$6="",$AB$7=""),"",IF($B63="","",IF(ISNA(VLOOKUP($B63,'LT06'!$B$11:$N$80,13,FALSE)),"",VLOOKUP($B63,'LT06'!$B$11:$N$80,13,FALSE))))</f>
        <v/>
      </c>
      <c r="AD63" s="83"/>
      <c r="AE63" s="84" t="str">
        <f>IF(OR($AB$6="",$AB$7=""),"",IF($B63="","",IF(ISNA(VLOOKUP($B63,'LT06'!$B$11:$Q$80,16,FALSE)),"",VLOOKUP($B63,'LT06'!$B$11:$Q$80,16,FALSE))))</f>
        <v/>
      </c>
      <c r="AF63" s="85" t="str">
        <f>IF(OR($AF$6="",$AF$7=""),"",IF($B63="","",IF(ISNA(VLOOKUP($B63,'LT07'!$B$11:$M$80,12,FALSE)),"",IF(VLOOKUP($B63,'LT07'!$B$11:$M$80,12,FALSE)="","",VLOOKUP($B63,'LT07'!$B$11:$M$80,12,FALSE)))))</f>
        <v/>
      </c>
      <c r="AG63" s="82" t="str">
        <f>IF(OR($AF$6="",$AF$7=""),"",IF($B63="","",IF(ISNA(VLOOKUP($B63,'LT07'!$B$11:$N$80,13,FALSE)),"",VLOOKUP($B63,'LT07'!$B$11:$N$80,13,FALSE))))</f>
        <v/>
      </c>
      <c r="AH63" s="83"/>
      <c r="AI63" s="84" t="str">
        <f>IF(OR($AF$6="",$AF$7=""),"",IF($B63="","",IF(ISNA(VLOOKUP($B63,'LT07'!$B$11:$Q$80,16,FALSE)),"",VLOOKUP($B63,'LT07'!$B$11:$Q$80,16,FALSE))))</f>
        <v/>
      </c>
      <c r="AJ63" s="304"/>
      <c r="AK63" s="82" t="str">
        <f>IF(OR($AJ$6="",$AJ$7=""),"",IF($B63="","",IF(ISNA(VLOOKUP($B63,'DO AN'!$B$11:$L$80,11,FALSE)),"",IF(VLOOKUP($B63,'DO AN'!$B$11:$L$80,11,FALSE)="","",VLOOKUP($B63,'DO AN'!$B$11:$L$80,11,FALSE)))))</f>
        <v/>
      </c>
      <c r="AL63" s="83"/>
      <c r="AM63" s="451"/>
      <c r="AN63" s="83"/>
      <c r="AO63" s="82" t="str">
        <f>IF(OR($AN$6="",$AN$7=""),"",IF($B63="","",IF(ISNA(VLOOKUP($B63,'DO AN 2'!$B$11:$L$80,11,FALSE)),"",IF(VLOOKUP($B63,'DO AN 2'!$B$11:$L$80,11,FALSE)="","",VLOOKUP($B63,'DO AN 2'!$B$11:$L$80,11,FALSE)))))</f>
        <v/>
      </c>
      <c r="AP63" s="83"/>
      <c r="AQ63" s="83"/>
      <c r="AR63" s="454"/>
      <c r="AS63" s="82" t="str">
        <f>IF(OR($AR$6="",$AR$7=""),"",IF($B63="","",IF(ISNA(VLOOKUP($B63,'TH01'!$B$11:$O$80,14,FALSE)),"",VLOOKUP($B63,'TH01'!$B$11:$O$80,14,FALSE))))</f>
        <v/>
      </c>
      <c r="AT63" s="83"/>
      <c r="AU63" s="303"/>
      <c r="AV63" s="304"/>
      <c r="AW63" s="82" t="str">
        <f>IF(OR($AV$6="",$AV$7=""),"",IF($B63="","",IF(ISNA(VLOOKUP($B63,'TH02'!$B$11:$O$80,14,FALSE)),"",VLOOKUP($B63,'TH02'!$B$11:$O$80,14,FALSE))))</f>
        <v/>
      </c>
      <c r="AX63" s="83"/>
      <c r="AY63" s="303"/>
      <c r="AZ63" s="304"/>
      <c r="BA63" s="82" t="str">
        <f>IF(OR($AZ$6="",$AZ$7=""),"",IF($B63="","",IF(ISNA(VLOOKUP($B63,'TH03'!$B$11:$O$80,14,FALSE)),"",VLOOKUP($B63,'TH03'!$B$11:$O$80,14,FALSE))))</f>
        <v/>
      </c>
      <c r="BB63" s="83"/>
      <c r="BC63" s="303"/>
      <c r="BD63" s="86" t="str">
        <f t="shared" si="11"/>
        <v/>
      </c>
      <c r="BE63" s="86" t="str">
        <f t="shared" si="12"/>
        <v/>
      </c>
      <c r="BF63" s="87"/>
      <c r="BG63" s="88" t="str">
        <f t="shared" si="92"/>
        <v/>
      </c>
      <c r="BH63" s="88" t="str">
        <f t="shared" si="93"/>
        <v/>
      </c>
      <c r="BI63" s="87"/>
      <c r="BJ63" s="86" t="str">
        <f t="shared" si="94"/>
        <v/>
      </c>
      <c r="BK63" s="265" t="str">
        <f t="shared" si="95"/>
        <v/>
      </c>
      <c r="BL63" s="88" t="str">
        <f t="shared" si="96"/>
        <v/>
      </c>
      <c r="BM63" s="88" t="str">
        <f t="shared" si="97"/>
        <v/>
      </c>
      <c r="BN63" s="88" t="str">
        <f t="shared" si="98"/>
        <v/>
      </c>
      <c r="BO63" s="86" t="str">
        <f t="shared" si="13"/>
        <v/>
      </c>
      <c r="BP63" s="86" t="str">
        <f t="shared" si="99"/>
        <v/>
      </c>
      <c r="BQ63" s="86" t="str">
        <f t="shared" si="14"/>
        <v/>
      </c>
      <c r="BR63" s="86" t="str">
        <f t="shared" si="100"/>
        <v/>
      </c>
      <c r="BS63" s="87"/>
      <c r="BT63" s="276" t="str">
        <f t="shared" si="15"/>
        <v/>
      </c>
      <c r="BU63" s="238" t="str">
        <f t="shared" si="16"/>
        <v/>
      </c>
      <c r="BV63" s="238" t="str">
        <f t="shared" si="17"/>
        <v/>
      </c>
      <c r="BW63" s="238" t="str">
        <f t="shared" si="18"/>
        <v/>
      </c>
      <c r="BX63" s="238" t="str">
        <f t="shared" si="19"/>
        <v/>
      </c>
      <c r="BY63" s="238" t="str">
        <f t="shared" si="20"/>
        <v/>
      </c>
      <c r="BZ63" s="238" t="str">
        <f t="shared" si="21"/>
        <v/>
      </c>
      <c r="CA63" s="238" t="str">
        <f t="shared" si="22"/>
        <v/>
      </c>
      <c r="CB63" s="238" t="str">
        <f t="shared" si="23"/>
        <v/>
      </c>
      <c r="CC63" s="238" t="str">
        <f t="shared" si="24"/>
        <v/>
      </c>
      <c r="CD63" s="238" t="str">
        <f t="shared" si="25"/>
        <v/>
      </c>
      <c r="CE63" s="238" t="str">
        <f t="shared" si="26"/>
        <v/>
      </c>
      <c r="CF63" s="238" t="str">
        <f t="shared" si="27"/>
        <v/>
      </c>
      <c r="CG63" s="239" t="str">
        <f t="shared" si="28"/>
        <v/>
      </c>
      <c r="CH63" s="238" t="str">
        <f t="shared" si="29"/>
        <v/>
      </c>
      <c r="CI63" s="238" t="str">
        <f t="shared" si="30"/>
        <v/>
      </c>
      <c r="CJ63" s="238" t="str">
        <f t="shared" si="31"/>
        <v/>
      </c>
      <c r="CK63" s="238" t="str">
        <f t="shared" si="32"/>
        <v/>
      </c>
      <c r="CL63" s="238" t="str">
        <f t="shared" si="33"/>
        <v/>
      </c>
      <c r="CM63" s="238" t="str">
        <f t="shared" si="34"/>
        <v/>
      </c>
      <c r="CN63" s="238" t="str">
        <f t="shared" si="35"/>
        <v/>
      </c>
      <c r="CO63" s="238" t="str">
        <f t="shared" si="36"/>
        <v/>
      </c>
      <c r="CP63" s="238" t="str">
        <f t="shared" si="37"/>
        <v/>
      </c>
      <c r="CQ63" s="238" t="str">
        <f t="shared" si="38"/>
        <v/>
      </c>
      <c r="CR63" s="238" t="str">
        <f t="shared" si="39"/>
        <v/>
      </c>
      <c r="CS63" s="238" t="str">
        <f t="shared" si="40"/>
        <v/>
      </c>
      <c r="CT63" s="240" t="str">
        <f t="shared" si="41"/>
        <v/>
      </c>
      <c r="CU63" s="241" t="str">
        <f t="shared" si="42"/>
        <v/>
      </c>
      <c r="CV63" s="241" t="str">
        <f t="shared" si="43"/>
        <v/>
      </c>
      <c r="CW63" s="241" t="str">
        <f t="shared" si="44"/>
        <v/>
      </c>
      <c r="CX63" s="241" t="str">
        <f t="shared" si="45"/>
        <v/>
      </c>
      <c r="CY63" s="241" t="str">
        <f t="shared" si="46"/>
        <v/>
      </c>
      <c r="CZ63" s="241" t="str">
        <f t="shared" si="47"/>
        <v/>
      </c>
      <c r="DA63" s="241" t="str">
        <f t="shared" si="48"/>
        <v/>
      </c>
      <c r="DB63" s="241" t="str">
        <f t="shared" si="49"/>
        <v/>
      </c>
      <c r="DC63" s="241" t="str">
        <f t="shared" si="50"/>
        <v/>
      </c>
      <c r="DD63" s="241" t="str">
        <f t="shared" si="51"/>
        <v/>
      </c>
      <c r="DE63" s="241" t="str">
        <f t="shared" si="52"/>
        <v/>
      </c>
      <c r="DF63" s="241" t="str">
        <f t="shared" si="53"/>
        <v/>
      </c>
      <c r="DG63" s="242" t="str">
        <f t="shared" si="101"/>
        <v/>
      </c>
      <c r="DH63" s="82" t="str">
        <f t="shared" si="54"/>
        <v/>
      </c>
      <c r="DI63" s="82" t="str">
        <f t="shared" si="55"/>
        <v/>
      </c>
      <c r="DJ63" s="82" t="str">
        <f t="shared" si="56"/>
        <v/>
      </c>
      <c r="DK63" s="82" t="str">
        <f t="shared" si="57"/>
        <v/>
      </c>
      <c r="DL63" s="82" t="str">
        <f t="shared" si="58"/>
        <v/>
      </c>
      <c r="DM63" s="82" t="str">
        <f t="shared" si="59"/>
        <v/>
      </c>
      <c r="DN63" s="82" t="str">
        <f t="shared" si="60"/>
        <v/>
      </c>
      <c r="DO63" s="82" t="str">
        <f t="shared" si="61"/>
        <v/>
      </c>
      <c r="DP63" s="82" t="str">
        <f t="shared" si="62"/>
        <v/>
      </c>
      <c r="DQ63" s="82" t="str">
        <f t="shared" si="63"/>
        <v/>
      </c>
      <c r="DR63" s="82" t="str">
        <f t="shared" si="64"/>
        <v/>
      </c>
      <c r="DS63" s="253" t="str">
        <f t="shared" si="65"/>
        <v/>
      </c>
      <c r="DT63" s="250" t="str">
        <f t="shared" si="66"/>
        <v/>
      </c>
      <c r="DU63" s="238" t="str">
        <f t="shared" si="67"/>
        <v/>
      </c>
      <c r="DV63" s="238" t="str">
        <f t="shared" si="68"/>
        <v/>
      </c>
      <c r="DW63" s="238" t="str">
        <f t="shared" si="69"/>
        <v/>
      </c>
      <c r="DX63" s="238" t="str">
        <f t="shared" si="70"/>
        <v/>
      </c>
      <c r="DY63" s="238" t="str">
        <f t="shared" si="71"/>
        <v/>
      </c>
      <c r="DZ63" s="238" t="str">
        <f t="shared" si="72"/>
        <v/>
      </c>
      <c r="EA63" s="238" t="str">
        <f t="shared" si="73"/>
        <v/>
      </c>
      <c r="EB63" s="238" t="str">
        <f t="shared" si="74"/>
        <v/>
      </c>
      <c r="EC63" s="238" t="str">
        <f t="shared" si="75"/>
        <v/>
      </c>
      <c r="ED63" s="238" t="str">
        <f t="shared" si="76"/>
        <v/>
      </c>
      <c r="EE63" s="238" t="str">
        <f t="shared" si="77"/>
        <v/>
      </c>
      <c r="EF63" s="255" t="str">
        <f t="shared" si="78"/>
        <v/>
      </c>
      <c r="EG63" s="257" t="str">
        <f t="shared" si="79"/>
        <v/>
      </c>
      <c r="EH63" s="257" t="str">
        <f t="shared" si="80"/>
        <v/>
      </c>
      <c r="EI63" s="257" t="str">
        <f t="shared" si="81"/>
        <v/>
      </c>
      <c r="EJ63" s="257" t="str">
        <f t="shared" si="82"/>
        <v/>
      </c>
      <c r="EK63" s="257" t="str">
        <f t="shared" si="83"/>
        <v/>
      </c>
      <c r="EL63" s="257" t="str">
        <f t="shared" si="84"/>
        <v/>
      </c>
      <c r="EM63" s="257" t="str">
        <f t="shared" si="85"/>
        <v/>
      </c>
      <c r="EN63" s="257" t="str">
        <f t="shared" si="86"/>
        <v/>
      </c>
      <c r="EO63" s="257" t="str">
        <f t="shared" si="87"/>
        <v/>
      </c>
      <c r="EP63" s="257" t="str">
        <f t="shared" si="88"/>
        <v/>
      </c>
      <c r="EQ63" s="257" t="str">
        <f t="shared" si="89"/>
        <v/>
      </c>
      <c r="ER63" s="257" t="str">
        <f t="shared" si="90"/>
        <v/>
      </c>
      <c r="ES63" s="262" t="str">
        <f t="shared" si="102"/>
        <v/>
      </c>
      <c r="ET63" s="307" t="str">
        <f t="shared" si="91"/>
        <v/>
      </c>
      <c r="EX63" s="89"/>
    </row>
    <row r="64" spans="1:154" s="90" customFormat="1" ht="30" customHeight="1">
      <c r="A64" s="272" t="str">
        <f>IF($B64="","",SUBTOTAL(3,$B$11:B64))</f>
        <v/>
      </c>
      <c r="B64" s="457"/>
      <c r="C64" s="76" t="str">
        <f>IF($B64="","",VLOOKUP($B64,'DS LOP HKI'!$B$2:$D$951,2,0))</f>
        <v/>
      </c>
      <c r="D64" s="77" t="str">
        <f>IF($B64="","",VLOOKUP($B64,'DS LOP HKI'!$B$2:$D$951,3,0))</f>
        <v/>
      </c>
      <c r="E64" s="78"/>
      <c r="F64" s="79"/>
      <c r="G64" s="80"/>
      <c r="H64" s="81" t="str">
        <f>IF(OR($H$6="",$H$7=""),"",IF($B64="","",IF(ISNA(VLOOKUP($B64,'LT01'!$B$11:$M$80,12,FALSE)),"",IF(VLOOKUP($B64,'LT01'!$B$11:$M$80,12,FALSE)="","",VLOOKUP($B64,'LT01'!$B$11:$M$80,12,FALSE)))))</f>
        <v/>
      </c>
      <c r="I64" s="82" t="str">
        <f>IF(OR($H$6="",$H$7=""),"",IF($B64="","",IF(ISNA(VLOOKUP($B64,'LT01'!$B$11:$N$80,13,FALSE)),"",VLOOKUP($B64,'LT01'!$B$11:$N$80,13,FALSE))))</f>
        <v/>
      </c>
      <c r="J64" s="83"/>
      <c r="K64" s="84" t="str">
        <f>IF(OR($H$6="",$H$7=""),"",IF($B64="","",IF(ISNA(VLOOKUP($B64,'LT01'!$B$11:$Q$80,16,FALSE)),"",IF(VLOOKUP($B64,'LT01'!$B$11:$Q$80,16,FALSE)="","",VLOOKUP($B64,'LT01'!$B$11:$Q$80,16,FALSE)))))</f>
        <v/>
      </c>
      <c r="L64" s="85" t="str">
        <f>IF(OR($L$6="",$L$7=""),"",IF($B64="","",IF(ISNA(VLOOKUP($B64,'LT02'!$B$11:$M$80,12,FALSE)),"",IF(VLOOKUP($B64,'LT02'!$B$11:$M$80,12,FALSE)="","",VLOOKUP($B64,'LT02'!$B$11:$M$80,12,FALSE)))))</f>
        <v/>
      </c>
      <c r="M64" s="82" t="str">
        <f>IF(OR($L$6="",$L$7=""),"",IF($B64="","",IF(ISNA(VLOOKUP($B64,'LT02'!$B$11:$N$80,13,FALSE)),"",VLOOKUP($B64,'LT02'!$B$11:$N$80,13,FALSE))))</f>
        <v/>
      </c>
      <c r="N64" s="83"/>
      <c r="O64" s="84" t="str">
        <f>IF(OR($L$6="",$L$7=""),"",IF($B64="","",IF(ISNA(VLOOKUP($B64,'LT02'!$B$11:$Q$80,16,FALSE)),"",VLOOKUP($B64,'LT02'!$B$11:$Q$80,16,FALSE))))</f>
        <v/>
      </c>
      <c r="P64" s="85" t="str">
        <f>IF(OR($P$6="",$P$7=""),"",IF($B64="","",IF(ISNA(VLOOKUP($B64,'LT03'!$B$11:$M$80,12,FALSE)),"",IF(VLOOKUP($B64,'LT03'!$B$11:$M$80,12,FALSE)="","",VLOOKUP($B64,'LT03'!$B$11:$M$80,12,FALSE)))))</f>
        <v/>
      </c>
      <c r="Q64" s="82" t="str">
        <f>IF(OR($P$6="",$P$7=""),"",IF($B64="","",IF(ISNA(VLOOKUP($B64,'LT03'!$B$11:$N$80,13,FALSE)),"",VLOOKUP($B64,'LT03'!$B$11:$N$80,13,FALSE))))</f>
        <v/>
      </c>
      <c r="R64" s="83"/>
      <c r="S64" s="84" t="str">
        <f>IF(OR($P$6="",$P$7=""),"",IF($B64="","",IF(ISNA(VLOOKUP($B64,'LT03'!$B$11:$Q$80,16,FALSE)),"",VLOOKUP($B64,'LT03'!$B$11:$Q$80,16,FALSE))))</f>
        <v/>
      </c>
      <c r="T64" s="85" t="str">
        <f>IF(OR($T$6="",$T$7=""),"",IF($B64="","",IF(ISNA(VLOOKUP($B64,'LT04'!$B$11:$M$80,12,FALSE)),"",IF(VLOOKUP($B64,'LT04'!$B$11:$M$80,12,FALSE)="","",VLOOKUP($B64,'LT04'!$B$11:$M$80,12,FALSE)))))</f>
        <v/>
      </c>
      <c r="U64" s="82" t="str">
        <f>IF(OR($T$6="",$T$7=""),"",IF($B64="","",IF(ISNA(VLOOKUP($B64,'LT04'!$B$11:$N$80,13,FALSE)),"",VLOOKUP($B64,'LT04'!$B$11:$N$80,13,FALSE))))</f>
        <v/>
      </c>
      <c r="V64" s="83"/>
      <c r="W64" s="84" t="str">
        <f>IF(OR($T$6="",$T$7=""),"",IF($B64="","",IF(ISNA(VLOOKUP($B64,'LT04'!$B$11:$Q$80,16,FALSE)),"",VLOOKUP($B64,'LT04'!$B$11:$Q$80,16,FALSE))))</f>
        <v/>
      </c>
      <c r="X64" s="85" t="str">
        <f>IF(OR($X$6="",$X$7=""),"",IF($B64="","",IF(ISNA(VLOOKUP($B64,'LT05'!$B$11:$M$80,12,FALSE)),"",IF(VLOOKUP($B64,'LT05'!$B$11:$M$80,12,FALSE)="","",VLOOKUP($B64,'LT05'!$B$11:$M$80,12,FALSE)))))</f>
        <v/>
      </c>
      <c r="Y64" s="82" t="str">
        <f>IF(OR($X$6="",$X$7=""),"",IF($B64="","",IF(ISNA(VLOOKUP($B64,'LT05'!$B$11:$N$80,13,FALSE)),"",VLOOKUP($B64,'LT05'!$B$11:$N$80,13,FALSE))))</f>
        <v/>
      </c>
      <c r="Z64" s="83"/>
      <c r="AA64" s="84" t="str">
        <f>IF(OR($X$6="",$X$7=""),"",IF($B64="","",IF(ISNA(VLOOKUP($B64,'LT05'!$B$11:$Q$80,16,FALSE)),"",VLOOKUP($B64,'LT05'!$B$11:$Q$80,16,FALSE))))</f>
        <v/>
      </c>
      <c r="AB64" s="85" t="str">
        <f>IF(OR($AB$6="",$AB$7=""),"",IF($B64="","",IF(ISNA(VLOOKUP($B64,'LT06'!$B$11:$M$80,12,FALSE)),"",IF(VLOOKUP($B64,'LT06'!$B$11:$M$80,12,FALSE)="","",VLOOKUP($B64,'LT06'!$B$11:$M$80,12,FALSE)))))</f>
        <v/>
      </c>
      <c r="AC64" s="82" t="str">
        <f>IF(OR($AB$6="",$AB$7=""),"",IF($B64="","",IF(ISNA(VLOOKUP($B64,'LT06'!$B$11:$N$80,13,FALSE)),"",VLOOKUP($B64,'LT06'!$B$11:$N$80,13,FALSE))))</f>
        <v/>
      </c>
      <c r="AD64" s="83"/>
      <c r="AE64" s="84" t="str">
        <f>IF(OR($AB$6="",$AB$7=""),"",IF($B64="","",IF(ISNA(VLOOKUP($B64,'LT06'!$B$11:$Q$80,16,FALSE)),"",VLOOKUP($B64,'LT06'!$B$11:$Q$80,16,FALSE))))</f>
        <v/>
      </c>
      <c r="AF64" s="85" t="str">
        <f>IF(OR($AF$6="",$AF$7=""),"",IF($B64="","",IF(ISNA(VLOOKUP($B64,'LT07'!$B$11:$M$80,12,FALSE)),"",IF(VLOOKUP($B64,'LT07'!$B$11:$M$80,12,FALSE)="","",VLOOKUP($B64,'LT07'!$B$11:$M$80,12,FALSE)))))</f>
        <v/>
      </c>
      <c r="AG64" s="82" t="str">
        <f>IF(OR($AF$6="",$AF$7=""),"",IF($B64="","",IF(ISNA(VLOOKUP($B64,'LT07'!$B$11:$N$80,13,FALSE)),"",VLOOKUP($B64,'LT07'!$B$11:$N$80,13,FALSE))))</f>
        <v/>
      </c>
      <c r="AH64" s="83"/>
      <c r="AI64" s="84" t="str">
        <f>IF(OR($AF$6="",$AF$7=""),"",IF($B64="","",IF(ISNA(VLOOKUP($B64,'LT07'!$B$11:$Q$80,16,FALSE)),"",VLOOKUP($B64,'LT07'!$B$11:$Q$80,16,FALSE))))</f>
        <v/>
      </c>
      <c r="AJ64" s="304"/>
      <c r="AK64" s="82" t="str">
        <f>IF(OR($AJ$6="",$AJ$7=""),"",IF($B64="","",IF(ISNA(VLOOKUP($B64,'DO AN'!$B$11:$L$80,11,FALSE)),"",IF(VLOOKUP($B64,'DO AN'!$B$11:$L$80,11,FALSE)="","",VLOOKUP($B64,'DO AN'!$B$11:$L$80,11,FALSE)))))</f>
        <v/>
      </c>
      <c r="AL64" s="83"/>
      <c r="AM64" s="451"/>
      <c r="AN64" s="83"/>
      <c r="AO64" s="82" t="str">
        <f>IF(OR($AN$6="",$AN$7=""),"",IF($B64="","",IF(ISNA(VLOOKUP($B64,'DO AN 2'!$B$11:$L$80,11,FALSE)),"",IF(VLOOKUP($B64,'DO AN 2'!$B$11:$L$80,11,FALSE)="","",VLOOKUP($B64,'DO AN 2'!$B$11:$L$80,11,FALSE)))))</f>
        <v/>
      </c>
      <c r="AP64" s="83"/>
      <c r="AQ64" s="83"/>
      <c r="AR64" s="454"/>
      <c r="AS64" s="82" t="str">
        <f>IF(OR($AR$6="",$AR$7=""),"",IF($B64="","",IF(ISNA(VLOOKUP($B64,'TH01'!$B$11:$O$80,14,FALSE)),"",VLOOKUP($B64,'TH01'!$B$11:$O$80,14,FALSE))))</f>
        <v/>
      </c>
      <c r="AT64" s="83"/>
      <c r="AU64" s="303"/>
      <c r="AV64" s="304"/>
      <c r="AW64" s="82" t="str">
        <f>IF(OR($AV$6="",$AV$7=""),"",IF($B64="","",IF(ISNA(VLOOKUP($B64,'TH02'!$B$11:$O$80,14,FALSE)),"",VLOOKUP($B64,'TH02'!$B$11:$O$80,14,FALSE))))</f>
        <v/>
      </c>
      <c r="AX64" s="83"/>
      <c r="AY64" s="303"/>
      <c r="AZ64" s="304"/>
      <c r="BA64" s="82" t="str">
        <f>IF(OR($AZ$6="",$AZ$7=""),"",IF($B64="","",IF(ISNA(VLOOKUP($B64,'TH03'!$B$11:$O$80,14,FALSE)),"",VLOOKUP($B64,'TH03'!$B$11:$O$80,14,FALSE))))</f>
        <v/>
      </c>
      <c r="BB64" s="83"/>
      <c r="BC64" s="303"/>
      <c r="BD64" s="86" t="str">
        <f t="shared" si="11"/>
        <v/>
      </c>
      <c r="BE64" s="86" t="str">
        <f t="shared" si="12"/>
        <v/>
      </c>
      <c r="BF64" s="87"/>
      <c r="BG64" s="88" t="str">
        <f t="shared" si="92"/>
        <v/>
      </c>
      <c r="BH64" s="88" t="str">
        <f t="shared" si="93"/>
        <v/>
      </c>
      <c r="BI64" s="87"/>
      <c r="BJ64" s="86" t="str">
        <f t="shared" si="94"/>
        <v/>
      </c>
      <c r="BK64" s="265" t="str">
        <f t="shared" si="95"/>
        <v/>
      </c>
      <c r="BL64" s="88" t="str">
        <f t="shared" si="96"/>
        <v/>
      </c>
      <c r="BM64" s="88" t="str">
        <f t="shared" si="97"/>
        <v/>
      </c>
      <c r="BN64" s="88" t="str">
        <f t="shared" si="98"/>
        <v/>
      </c>
      <c r="BO64" s="86" t="str">
        <f t="shared" si="13"/>
        <v/>
      </c>
      <c r="BP64" s="86" t="str">
        <f t="shared" si="99"/>
        <v/>
      </c>
      <c r="BQ64" s="86" t="str">
        <f t="shared" si="14"/>
        <v/>
      </c>
      <c r="BR64" s="86" t="str">
        <f t="shared" si="100"/>
        <v/>
      </c>
      <c r="BS64" s="87"/>
      <c r="BT64" s="276" t="str">
        <f t="shared" si="15"/>
        <v/>
      </c>
      <c r="BU64" s="238" t="str">
        <f t="shared" si="16"/>
        <v/>
      </c>
      <c r="BV64" s="238" t="str">
        <f t="shared" si="17"/>
        <v/>
      </c>
      <c r="BW64" s="238" t="str">
        <f t="shared" si="18"/>
        <v/>
      </c>
      <c r="BX64" s="238" t="str">
        <f t="shared" si="19"/>
        <v/>
      </c>
      <c r="BY64" s="238" t="str">
        <f t="shared" si="20"/>
        <v/>
      </c>
      <c r="BZ64" s="238" t="str">
        <f t="shared" si="21"/>
        <v/>
      </c>
      <c r="CA64" s="238" t="str">
        <f t="shared" si="22"/>
        <v/>
      </c>
      <c r="CB64" s="238" t="str">
        <f t="shared" si="23"/>
        <v/>
      </c>
      <c r="CC64" s="238" t="str">
        <f t="shared" si="24"/>
        <v/>
      </c>
      <c r="CD64" s="238" t="str">
        <f t="shared" si="25"/>
        <v/>
      </c>
      <c r="CE64" s="238" t="str">
        <f t="shared" si="26"/>
        <v/>
      </c>
      <c r="CF64" s="238" t="str">
        <f t="shared" si="27"/>
        <v/>
      </c>
      <c r="CG64" s="239" t="str">
        <f t="shared" si="28"/>
        <v/>
      </c>
      <c r="CH64" s="238" t="str">
        <f t="shared" si="29"/>
        <v/>
      </c>
      <c r="CI64" s="238" t="str">
        <f t="shared" si="30"/>
        <v/>
      </c>
      <c r="CJ64" s="238" t="str">
        <f t="shared" si="31"/>
        <v/>
      </c>
      <c r="CK64" s="238" t="str">
        <f t="shared" si="32"/>
        <v/>
      </c>
      <c r="CL64" s="238" t="str">
        <f t="shared" si="33"/>
        <v/>
      </c>
      <c r="CM64" s="238" t="str">
        <f t="shared" si="34"/>
        <v/>
      </c>
      <c r="CN64" s="238" t="str">
        <f t="shared" si="35"/>
        <v/>
      </c>
      <c r="CO64" s="238" t="str">
        <f t="shared" si="36"/>
        <v/>
      </c>
      <c r="CP64" s="238" t="str">
        <f t="shared" si="37"/>
        <v/>
      </c>
      <c r="CQ64" s="238" t="str">
        <f t="shared" si="38"/>
        <v/>
      </c>
      <c r="CR64" s="238" t="str">
        <f t="shared" si="39"/>
        <v/>
      </c>
      <c r="CS64" s="238" t="str">
        <f t="shared" si="40"/>
        <v/>
      </c>
      <c r="CT64" s="240" t="str">
        <f t="shared" si="41"/>
        <v/>
      </c>
      <c r="CU64" s="241" t="str">
        <f t="shared" si="42"/>
        <v/>
      </c>
      <c r="CV64" s="241" t="str">
        <f t="shared" si="43"/>
        <v/>
      </c>
      <c r="CW64" s="241" t="str">
        <f t="shared" si="44"/>
        <v/>
      </c>
      <c r="CX64" s="241" t="str">
        <f t="shared" si="45"/>
        <v/>
      </c>
      <c r="CY64" s="241" t="str">
        <f t="shared" si="46"/>
        <v/>
      </c>
      <c r="CZ64" s="241" t="str">
        <f t="shared" si="47"/>
        <v/>
      </c>
      <c r="DA64" s="241" t="str">
        <f t="shared" si="48"/>
        <v/>
      </c>
      <c r="DB64" s="241" t="str">
        <f t="shared" si="49"/>
        <v/>
      </c>
      <c r="DC64" s="241" t="str">
        <f t="shared" si="50"/>
        <v/>
      </c>
      <c r="DD64" s="241" t="str">
        <f t="shared" si="51"/>
        <v/>
      </c>
      <c r="DE64" s="241" t="str">
        <f t="shared" si="52"/>
        <v/>
      </c>
      <c r="DF64" s="241" t="str">
        <f t="shared" si="53"/>
        <v/>
      </c>
      <c r="DG64" s="242" t="str">
        <f t="shared" si="101"/>
        <v/>
      </c>
      <c r="DH64" s="82" t="str">
        <f t="shared" si="54"/>
        <v/>
      </c>
      <c r="DI64" s="82" t="str">
        <f t="shared" si="55"/>
        <v/>
      </c>
      <c r="DJ64" s="82" t="str">
        <f t="shared" si="56"/>
        <v/>
      </c>
      <c r="DK64" s="82" t="str">
        <f t="shared" si="57"/>
        <v/>
      </c>
      <c r="DL64" s="82" t="str">
        <f t="shared" si="58"/>
        <v/>
      </c>
      <c r="DM64" s="82" t="str">
        <f t="shared" si="59"/>
        <v/>
      </c>
      <c r="DN64" s="82" t="str">
        <f t="shared" si="60"/>
        <v/>
      </c>
      <c r="DO64" s="82" t="str">
        <f t="shared" si="61"/>
        <v/>
      </c>
      <c r="DP64" s="82" t="str">
        <f t="shared" si="62"/>
        <v/>
      </c>
      <c r="DQ64" s="82" t="str">
        <f t="shared" si="63"/>
        <v/>
      </c>
      <c r="DR64" s="82" t="str">
        <f t="shared" si="64"/>
        <v/>
      </c>
      <c r="DS64" s="253" t="str">
        <f t="shared" si="65"/>
        <v/>
      </c>
      <c r="DT64" s="250" t="str">
        <f t="shared" si="66"/>
        <v/>
      </c>
      <c r="DU64" s="238" t="str">
        <f t="shared" si="67"/>
        <v/>
      </c>
      <c r="DV64" s="238" t="str">
        <f t="shared" si="68"/>
        <v/>
      </c>
      <c r="DW64" s="238" t="str">
        <f t="shared" si="69"/>
        <v/>
      </c>
      <c r="DX64" s="238" t="str">
        <f t="shared" si="70"/>
        <v/>
      </c>
      <c r="DY64" s="238" t="str">
        <f t="shared" si="71"/>
        <v/>
      </c>
      <c r="DZ64" s="238" t="str">
        <f t="shared" si="72"/>
        <v/>
      </c>
      <c r="EA64" s="238" t="str">
        <f t="shared" si="73"/>
        <v/>
      </c>
      <c r="EB64" s="238" t="str">
        <f t="shared" si="74"/>
        <v/>
      </c>
      <c r="EC64" s="238" t="str">
        <f t="shared" si="75"/>
        <v/>
      </c>
      <c r="ED64" s="238" t="str">
        <f t="shared" si="76"/>
        <v/>
      </c>
      <c r="EE64" s="238" t="str">
        <f t="shared" si="77"/>
        <v/>
      </c>
      <c r="EF64" s="255" t="str">
        <f t="shared" si="78"/>
        <v/>
      </c>
      <c r="EG64" s="257" t="str">
        <f t="shared" si="79"/>
        <v/>
      </c>
      <c r="EH64" s="257" t="str">
        <f t="shared" si="80"/>
        <v/>
      </c>
      <c r="EI64" s="257" t="str">
        <f t="shared" si="81"/>
        <v/>
      </c>
      <c r="EJ64" s="257" t="str">
        <f t="shared" si="82"/>
        <v/>
      </c>
      <c r="EK64" s="257" t="str">
        <f t="shared" si="83"/>
        <v/>
      </c>
      <c r="EL64" s="257" t="str">
        <f t="shared" si="84"/>
        <v/>
      </c>
      <c r="EM64" s="257" t="str">
        <f t="shared" si="85"/>
        <v/>
      </c>
      <c r="EN64" s="257" t="str">
        <f t="shared" si="86"/>
        <v/>
      </c>
      <c r="EO64" s="257" t="str">
        <f t="shared" si="87"/>
        <v/>
      </c>
      <c r="EP64" s="257" t="str">
        <f t="shared" si="88"/>
        <v/>
      </c>
      <c r="EQ64" s="257" t="str">
        <f t="shared" si="89"/>
        <v/>
      </c>
      <c r="ER64" s="257" t="str">
        <f t="shared" si="90"/>
        <v/>
      </c>
      <c r="ES64" s="262" t="str">
        <f t="shared" si="102"/>
        <v/>
      </c>
      <c r="ET64" s="307" t="str">
        <f t="shared" si="91"/>
        <v/>
      </c>
      <c r="EX64" s="89"/>
    </row>
    <row r="65" spans="1:154" s="90" customFormat="1" ht="30" customHeight="1">
      <c r="A65" s="272" t="str">
        <f>IF($B65="","",SUBTOTAL(3,$B$11:B65))</f>
        <v/>
      </c>
      <c r="B65" s="457"/>
      <c r="C65" s="76" t="str">
        <f>IF($B65="","",VLOOKUP($B65,'DS LOP HKI'!$B$2:$D$951,2,0))</f>
        <v/>
      </c>
      <c r="D65" s="77" t="str">
        <f>IF($B65="","",VLOOKUP($B65,'DS LOP HKI'!$B$2:$D$951,3,0))</f>
        <v/>
      </c>
      <c r="E65" s="78"/>
      <c r="F65" s="79"/>
      <c r="G65" s="80"/>
      <c r="H65" s="81" t="str">
        <f>IF(OR($H$6="",$H$7=""),"",IF($B65="","",IF(ISNA(VLOOKUP($B65,'LT01'!$B$11:$M$80,12,FALSE)),"",IF(VLOOKUP($B65,'LT01'!$B$11:$M$80,12,FALSE)="","",VLOOKUP($B65,'LT01'!$B$11:$M$80,12,FALSE)))))</f>
        <v/>
      </c>
      <c r="I65" s="82" t="str">
        <f>IF(OR($H$6="",$H$7=""),"",IF($B65="","",IF(ISNA(VLOOKUP($B65,'LT01'!$B$11:$N$80,13,FALSE)),"",VLOOKUP($B65,'LT01'!$B$11:$N$80,13,FALSE))))</f>
        <v/>
      </c>
      <c r="J65" s="83"/>
      <c r="K65" s="84" t="str">
        <f>IF(OR($H$6="",$H$7=""),"",IF($B65="","",IF(ISNA(VLOOKUP($B65,'LT01'!$B$11:$Q$80,16,FALSE)),"",IF(VLOOKUP($B65,'LT01'!$B$11:$Q$80,16,FALSE)="","",VLOOKUP($B65,'LT01'!$B$11:$Q$80,16,FALSE)))))</f>
        <v/>
      </c>
      <c r="L65" s="85" t="str">
        <f>IF(OR($L$6="",$L$7=""),"",IF($B65="","",IF(ISNA(VLOOKUP($B65,'LT02'!$B$11:$M$80,12,FALSE)),"",IF(VLOOKUP($B65,'LT02'!$B$11:$M$80,12,FALSE)="","",VLOOKUP($B65,'LT02'!$B$11:$M$80,12,FALSE)))))</f>
        <v/>
      </c>
      <c r="M65" s="82" t="str">
        <f>IF(OR($L$6="",$L$7=""),"",IF($B65="","",IF(ISNA(VLOOKUP($B65,'LT02'!$B$11:$N$80,13,FALSE)),"",VLOOKUP($B65,'LT02'!$B$11:$N$80,13,FALSE))))</f>
        <v/>
      </c>
      <c r="N65" s="83"/>
      <c r="O65" s="84" t="str">
        <f>IF(OR($L$6="",$L$7=""),"",IF($B65="","",IF(ISNA(VLOOKUP($B65,'LT02'!$B$11:$Q$80,16,FALSE)),"",VLOOKUP($B65,'LT02'!$B$11:$Q$80,16,FALSE))))</f>
        <v/>
      </c>
      <c r="P65" s="85" t="str">
        <f>IF(OR($P$6="",$P$7=""),"",IF($B65="","",IF(ISNA(VLOOKUP($B65,'LT03'!$B$11:$M$80,12,FALSE)),"",IF(VLOOKUP($B65,'LT03'!$B$11:$M$80,12,FALSE)="","",VLOOKUP($B65,'LT03'!$B$11:$M$80,12,FALSE)))))</f>
        <v/>
      </c>
      <c r="Q65" s="82" t="str">
        <f>IF(OR($P$6="",$P$7=""),"",IF($B65="","",IF(ISNA(VLOOKUP($B65,'LT03'!$B$11:$N$80,13,FALSE)),"",VLOOKUP($B65,'LT03'!$B$11:$N$80,13,FALSE))))</f>
        <v/>
      </c>
      <c r="R65" s="83"/>
      <c r="S65" s="84" t="str">
        <f>IF(OR($P$6="",$P$7=""),"",IF($B65="","",IF(ISNA(VLOOKUP($B65,'LT03'!$B$11:$Q$80,16,FALSE)),"",VLOOKUP($B65,'LT03'!$B$11:$Q$80,16,FALSE))))</f>
        <v/>
      </c>
      <c r="T65" s="85" t="str">
        <f>IF(OR($T$6="",$T$7=""),"",IF($B65="","",IF(ISNA(VLOOKUP($B65,'LT04'!$B$11:$M$80,12,FALSE)),"",IF(VLOOKUP($B65,'LT04'!$B$11:$M$80,12,FALSE)="","",VLOOKUP($B65,'LT04'!$B$11:$M$80,12,FALSE)))))</f>
        <v/>
      </c>
      <c r="U65" s="82" t="str">
        <f>IF(OR($T$6="",$T$7=""),"",IF($B65="","",IF(ISNA(VLOOKUP($B65,'LT04'!$B$11:$N$80,13,FALSE)),"",VLOOKUP($B65,'LT04'!$B$11:$N$80,13,FALSE))))</f>
        <v/>
      </c>
      <c r="V65" s="83"/>
      <c r="W65" s="84" t="str">
        <f>IF(OR($T$6="",$T$7=""),"",IF($B65="","",IF(ISNA(VLOOKUP($B65,'LT04'!$B$11:$Q$80,16,FALSE)),"",VLOOKUP($B65,'LT04'!$B$11:$Q$80,16,FALSE))))</f>
        <v/>
      </c>
      <c r="X65" s="85" t="str">
        <f>IF(OR($X$6="",$X$7=""),"",IF($B65="","",IF(ISNA(VLOOKUP($B65,'LT05'!$B$11:$M$80,12,FALSE)),"",IF(VLOOKUP($B65,'LT05'!$B$11:$M$80,12,FALSE)="","",VLOOKUP($B65,'LT05'!$B$11:$M$80,12,FALSE)))))</f>
        <v/>
      </c>
      <c r="Y65" s="82" t="str">
        <f>IF(OR($X$6="",$X$7=""),"",IF($B65="","",IF(ISNA(VLOOKUP($B65,'LT05'!$B$11:$N$80,13,FALSE)),"",VLOOKUP($B65,'LT05'!$B$11:$N$80,13,FALSE))))</f>
        <v/>
      </c>
      <c r="Z65" s="83"/>
      <c r="AA65" s="84" t="str">
        <f>IF(OR($X$6="",$X$7=""),"",IF($B65="","",IF(ISNA(VLOOKUP($B65,'LT05'!$B$11:$Q$80,16,FALSE)),"",VLOOKUP($B65,'LT05'!$B$11:$Q$80,16,FALSE))))</f>
        <v/>
      </c>
      <c r="AB65" s="85" t="str">
        <f>IF(OR($AB$6="",$AB$7=""),"",IF($B65="","",IF(ISNA(VLOOKUP($B65,'LT06'!$B$11:$M$80,12,FALSE)),"",IF(VLOOKUP($B65,'LT06'!$B$11:$M$80,12,FALSE)="","",VLOOKUP($B65,'LT06'!$B$11:$M$80,12,FALSE)))))</f>
        <v/>
      </c>
      <c r="AC65" s="82" t="str">
        <f>IF(OR($AB$6="",$AB$7=""),"",IF($B65="","",IF(ISNA(VLOOKUP($B65,'LT06'!$B$11:$N$80,13,FALSE)),"",VLOOKUP($B65,'LT06'!$B$11:$N$80,13,FALSE))))</f>
        <v/>
      </c>
      <c r="AD65" s="83"/>
      <c r="AE65" s="84" t="str">
        <f>IF(OR($AB$6="",$AB$7=""),"",IF($B65="","",IF(ISNA(VLOOKUP($B65,'LT06'!$B$11:$Q$80,16,FALSE)),"",VLOOKUP($B65,'LT06'!$B$11:$Q$80,16,FALSE))))</f>
        <v/>
      </c>
      <c r="AF65" s="85" t="str">
        <f>IF(OR($AF$6="",$AF$7=""),"",IF($B65="","",IF(ISNA(VLOOKUP($B65,'LT07'!$B$11:$M$80,12,FALSE)),"",IF(VLOOKUP($B65,'LT07'!$B$11:$M$80,12,FALSE)="","",VLOOKUP($B65,'LT07'!$B$11:$M$80,12,FALSE)))))</f>
        <v/>
      </c>
      <c r="AG65" s="82" t="str">
        <f>IF(OR($AF$6="",$AF$7=""),"",IF($B65="","",IF(ISNA(VLOOKUP($B65,'LT07'!$B$11:$N$80,13,FALSE)),"",VLOOKUP($B65,'LT07'!$B$11:$N$80,13,FALSE))))</f>
        <v/>
      </c>
      <c r="AH65" s="83"/>
      <c r="AI65" s="84" t="str">
        <f>IF(OR($AF$6="",$AF$7=""),"",IF($B65="","",IF(ISNA(VLOOKUP($B65,'LT07'!$B$11:$Q$80,16,FALSE)),"",VLOOKUP($B65,'LT07'!$B$11:$Q$80,16,FALSE))))</f>
        <v/>
      </c>
      <c r="AJ65" s="304"/>
      <c r="AK65" s="82" t="str">
        <f>IF(OR($AJ$6="",$AJ$7=""),"",IF($B65="","",IF(ISNA(VLOOKUP($B65,'DO AN'!$B$11:$L$80,11,FALSE)),"",IF(VLOOKUP($B65,'DO AN'!$B$11:$L$80,11,FALSE)="","",VLOOKUP($B65,'DO AN'!$B$11:$L$80,11,FALSE)))))</f>
        <v/>
      </c>
      <c r="AL65" s="83"/>
      <c r="AM65" s="451"/>
      <c r="AN65" s="83"/>
      <c r="AO65" s="82" t="str">
        <f>IF(OR($AN$6="",$AN$7=""),"",IF($B65="","",IF(ISNA(VLOOKUP($B65,'DO AN 2'!$B$11:$L$80,11,FALSE)),"",IF(VLOOKUP($B65,'DO AN 2'!$B$11:$L$80,11,FALSE)="","",VLOOKUP($B65,'DO AN 2'!$B$11:$L$80,11,FALSE)))))</f>
        <v/>
      </c>
      <c r="AP65" s="83"/>
      <c r="AQ65" s="83"/>
      <c r="AR65" s="454"/>
      <c r="AS65" s="82" t="str">
        <f>IF(OR($AR$6="",$AR$7=""),"",IF($B65="","",IF(ISNA(VLOOKUP($B65,'TH01'!$B$11:$O$80,14,FALSE)),"",VLOOKUP($B65,'TH01'!$B$11:$O$80,14,FALSE))))</f>
        <v/>
      </c>
      <c r="AT65" s="83"/>
      <c r="AU65" s="303"/>
      <c r="AV65" s="304"/>
      <c r="AW65" s="82" t="str">
        <f>IF(OR($AV$6="",$AV$7=""),"",IF($B65="","",IF(ISNA(VLOOKUP($B65,'TH02'!$B$11:$O$80,14,FALSE)),"",VLOOKUP($B65,'TH02'!$B$11:$O$80,14,FALSE))))</f>
        <v/>
      </c>
      <c r="AX65" s="83"/>
      <c r="AY65" s="303"/>
      <c r="AZ65" s="304"/>
      <c r="BA65" s="82" t="str">
        <f>IF(OR($AZ$6="",$AZ$7=""),"",IF($B65="","",IF(ISNA(VLOOKUP($B65,'TH03'!$B$11:$O$80,14,FALSE)),"",VLOOKUP($B65,'TH03'!$B$11:$O$80,14,FALSE))))</f>
        <v/>
      </c>
      <c r="BB65" s="83"/>
      <c r="BC65" s="303"/>
      <c r="BD65" s="86" t="str">
        <f t="shared" si="11"/>
        <v/>
      </c>
      <c r="BE65" s="86" t="str">
        <f t="shared" si="12"/>
        <v/>
      </c>
      <c r="BF65" s="87"/>
      <c r="BG65" s="88" t="str">
        <f t="shared" si="92"/>
        <v/>
      </c>
      <c r="BH65" s="88" t="str">
        <f t="shared" si="93"/>
        <v/>
      </c>
      <c r="BI65" s="87"/>
      <c r="BJ65" s="86" t="str">
        <f t="shared" si="94"/>
        <v/>
      </c>
      <c r="BK65" s="265" t="str">
        <f t="shared" si="95"/>
        <v/>
      </c>
      <c r="BL65" s="88" t="str">
        <f t="shared" si="96"/>
        <v/>
      </c>
      <c r="BM65" s="88" t="str">
        <f t="shared" si="97"/>
        <v/>
      </c>
      <c r="BN65" s="88" t="str">
        <f t="shared" si="98"/>
        <v/>
      </c>
      <c r="BO65" s="86" t="str">
        <f t="shared" si="13"/>
        <v/>
      </c>
      <c r="BP65" s="86" t="str">
        <f t="shared" si="99"/>
        <v/>
      </c>
      <c r="BQ65" s="86" t="str">
        <f t="shared" si="14"/>
        <v/>
      </c>
      <c r="BR65" s="86" t="str">
        <f t="shared" si="100"/>
        <v/>
      </c>
      <c r="BS65" s="87"/>
      <c r="BT65" s="276" t="str">
        <f t="shared" si="15"/>
        <v/>
      </c>
      <c r="BU65" s="238" t="str">
        <f t="shared" si="16"/>
        <v/>
      </c>
      <c r="BV65" s="238" t="str">
        <f t="shared" si="17"/>
        <v/>
      </c>
      <c r="BW65" s="238" t="str">
        <f t="shared" si="18"/>
        <v/>
      </c>
      <c r="BX65" s="238" t="str">
        <f t="shared" si="19"/>
        <v/>
      </c>
      <c r="BY65" s="238" t="str">
        <f t="shared" si="20"/>
        <v/>
      </c>
      <c r="BZ65" s="238" t="str">
        <f t="shared" si="21"/>
        <v/>
      </c>
      <c r="CA65" s="238" t="str">
        <f t="shared" si="22"/>
        <v/>
      </c>
      <c r="CB65" s="238" t="str">
        <f t="shared" si="23"/>
        <v/>
      </c>
      <c r="CC65" s="238" t="str">
        <f t="shared" si="24"/>
        <v/>
      </c>
      <c r="CD65" s="238" t="str">
        <f t="shared" si="25"/>
        <v/>
      </c>
      <c r="CE65" s="238" t="str">
        <f t="shared" si="26"/>
        <v/>
      </c>
      <c r="CF65" s="238" t="str">
        <f t="shared" si="27"/>
        <v/>
      </c>
      <c r="CG65" s="239" t="str">
        <f t="shared" si="28"/>
        <v/>
      </c>
      <c r="CH65" s="238" t="str">
        <f t="shared" si="29"/>
        <v/>
      </c>
      <c r="CI65" s="238" t="str">
        <f t="shared" si="30"/>
        <v/>
      </c>
      <c r="CJ65" s="238" t="str">
        <f t="shared" si="31"/>
        <v/>
      </c>
      <c r="CK65" s="238" t="str">
        <f t="shared" si="32"/>
        <v/>
      </c>
      <c r="CL65" s="238" t="str">
        <f t="shared" si="33"/>
        <v/>
      </c>
      <c r="CM65" s="238" t="str">
        <f t="shared" si="34"/>
        <v/>
      </c>
      <c r="CN65" s="238" t="str">
        <f t="shared" si="35"/>
        <v/>
      </c>
      <c r="CO65" s="238" t="str">
        <f t="shared" si="36"/>
        <v/>
      </c>
      <c r="CP65" s="238" t="str">
        <f t="shared" si="37"/>
        <v/>
      </c>
      <c r="CQ65" s="238" t="str">
        <f t="shared" si="38"/>
        <v/>
      </c>
      <c r="CR65" s="238" t="str">
        <f t="shared" si="39"/>
        <v/>
      </c>
      <c r="CS65" s="238" t="str">
        <f t="shared" si="40"/>
        <v/>
      </c>
      <c r="CT65" s="240" t="str">
        <f t="shared" si="41"/>
        <v/>
      </c>
      <c r="CU65" s="241" t="str">
        <f t="shared" si="42"/>
        <v/>
      </c>
      <c r="CV65" s="241" t="str">
        <f t="shared" si="43"/>
        <v/>
      </c>
      <c r="CW65" s="241" t="str">
        <f t="shared" si="44"/>
        <v/>
      </c>
      <c r="CX65" s="241" t="str">
        <f t="shared" si="45"/>
        <v/>
      </c>
      <c r="CY65" s="241" t="str">
        <f t="shared" si="46"/>
        <v/>
      </c>
      <c r="CZ65" s="241" t="str">
        <f t="shared" si="47"/>
        <v/>
      </c>
      <c r="DA65" s="241" t="str">
        <f t="shared" si="48"/>
        <v/>
      </c>
      <c r="DB65" s="241" t="str">
        <f t="shared" si="49"/>
        <v/>
      </c>
      <c r="DC65" s="241" t="str">
        <f t="shared" si="50"/>
        <v/>
      </c>
      <c r="DD65" s="241" t="str">
        <f t="shared" si="51"/>
        <v/>
      </c>
      <c r="DE65" s="241" t="str">
        <f t="shared" si="52"/>
        <v/>
      </c>
      <c r="DF65" s="241" t="str">
        <f t="shared" si="53"/>
        <v/>
      </c>
      <c r="DG65" s="242" t="str">
        <f t="shared" si="101"/>
        <v/>
      </c>
      <c r="DH65" s="82" t="str">
        <f t="shared" si="54"/>
        <v/>
      </c>
      <c r="DI65" s="82" t="str">
        <f t="shared" si="55"/>
        <v/>
      </c>
      <c r="DJ65" s="82" t="str">
        <f t="shared" si="56"/>
        <v/>
      </c>
      <c r="DK65" s="82" t="str">
        <f t="shared" si="57"/>
        <v/>
      </c>
      <c r="DL65" s="82" t="str">
        <f t="shared" si="58"/>
        <v/>
      </c>
      <c r="DM65" s="82" t="str">
        <f t="shared" si="59"/>
        <v/>
      </c>
      <c r="DN65" s="82" t="str">
        <f t="shared" si="60"/>
        <v/>
      </c>
      <c r="DO65" s="82" t="str">
        <f t="shared" si="61"/>
        <v/>
      </c>
      <c r="DP65" s="82" t="str">
        <f t="shared" si="62"/>
        <v/>
      </c>
      <c r="DQ65" s="82" t="str">
        <f t="shared" si="63"/>
        <v/>
      </c>
      <c r="DR65" s="82" t="str">
        <f t="shared" si="64"/>
        <v/>
      </c>
      <c r="DS65" s="253" t="str">
        <f t="shared" si="65"/>
        <v/>
      </c>
      <c r="DT65" s="250" t="str">
        <f t="shared" si="66"/>
        <v/>
      </c>
      <c r="DU65" s="238" t="str">
        <f t="shared" si="67"/>
        <v/>
      </c>
      <c r="DV65" s="238" t="str">
        <f t="shared" si="68"/>
        <v/>
      </c>
      <c r="DW65" s="238" t="str">
        <f t="shared" si="69"/>
        <v/>
      </c>
      <c r="DX65" s="238" t="str">
        <f t="shared" si="70"/>
        <v/>
      </c>
      <c r="DY65" s="238" t="str">
        <f t="shared" si="71"/>
        <v/>
      </c>
      <c r="DZ65" s="238" t="str">
        <f t="shared" si="72"/>
        <v/>
      </c>
      <c r="EA65" s="238" t="str">
        <f t="shared" si="73"/>
        <v/>
      </c>
      <c r="EB65" s="238" t="str">
        <f t="shared" si="74"/>
        <v/>
      </c>
      <c r="EC65" s="238" t="str">
        <f t="shared" si="75"/>
        <v/>
      </c>
      <c r="ED65" s="238" t="str">
        <f t="shared" si="76"/>
        <v/>
      </c>
      <c r="EE65" s="238" t="str">
        <f t="shared" si="77"/>
        <v/>
      </c>
      <c r="EF65" s="255" t="str">
        <f t="shared" si="78"/>
        <v/>
      </c>
      <c r="EG65" s="257" t="str">
        <f t="shared" si="79"/>
        <v/>
      </c>
      <c r="EH65" s="257" t="str">
        <f t="shared" si="80"/>
        <v/>
      </c>
      <c r="EI65" s="257" t="str">
        <f t="shared" si="81"/>
        <v/>
      </c>
      <c r="EJ65" s="257" t="str">
        <f t="shared" si="82"/>
        <v/>
      </c>
      <c r="EK65" s="257" t="str">
        <f t="shared" si="83"/>
        <v/>
      </c>
      <c r="EL65" s="257" t="str">
        <f t="shared" si="84"/>
        <v/>
      </c>
      <c r="EM65" s="257" t="str">
        <f t="shared" si="85"/>
        <v/>
      </c>
      <c r="EN65" s="257" t="str">
        <f t="shared" si="86"/>
        <v/>
      </c>
      <c r="EO65" s="257" t="str">
        <f t="shared" si="87"/>
        <v/>
      </c>
      <c r="EP65" s="257" t="str">
        <f t="shared" si="88"/>
        <v/>
      </c>
      <c r="EQ65" s="257" t="str">
        <f t="shared" si="89"/>
        <v/>
      </c>
      <c r="ER65" s="257" t="str">
        <f t="shared" si="90"/>
        <v/>
      </c>
      <c r="ES65" s="262" t="str">
        <f t="shared" si="102"/>
        <v/>
      </c>
      <c r="ET65" s="307" t="str">
        <f t="shared" si="91"/>
        <v/>
      </c>
      <c r="EX65" s="89"/>
    </row>
    <row r="66" spans="1:154" s="90" customFormat="1" ht="30" customHeight="1">
      <c r="A66" s="272" t="str">
        <f>IF($B66="","",SUBTOTAL(3,$B$11:B66))</f>
        <v/>
      </c>
      <c r="B66" s="457"/>
      <c r="C66" s="76" t="str">
        <f>IF($B66="","",VLOOKUP($B66,'DS LOP HKI'!$B$2:$D$951,2,0))</f>
        <v/>
      </c>
      <c r="D66" s="77" t="str">
        <f>IF($B66="","",VLOOKUP($B66,'DS LOP HKI'!$B$2:$D$951,3,0))</f>
        <v/>
      </c>
      <c r="E66" s="78"/>
      <c r="F66" s="79"/>
      <c r="G66" s="80"/>
      <c r="H66" s="81" t="str">
        <f>IF(OR($H$6="",$H$7=""),"",IF($B66="","",IF(ISNA(VLOOKUP($B66,'LT01'!$B$11:$M$80,12,FALSE)),"",IF(VLOOKUP($B66,'LT01'!$B$11:$M$80,12,FALSE)="","",VLOOKUP($B66,'LT01'!$B$11:$M$80,12,FALSE)))))</f>
        <v/>
      </c>
      <c r="I66" s="82" t="str">
        <f>IF(OR($H$6="",$H$7=""),"",IF($B66="","",IF(ISNA(VLOOKUP($B66,'LT01'!$B$11:$N$80,13,FALSE)),"",VLOOKUP($B66,'LT01'!$B$11:$N$80,13,FALSE))))</f>
        <v/>
      </c>
      <c r="J66" s="83"/>
      <c r="K66" s="84" t="str">
        <f>IF(OR($H$6="",$H$7=""),"",IF($B66="","",IF(ISNA(VLOOKUP($B66,'LT01'!$B$11:$Q$80,16,FALSE)),"",IF(VLOOKUP($B66,'LT01'!$B$11:$Q$80,16,FALSE)="","",VLOOKUP($B66,'LT01'!$B$11:$Q$80,16,FALSE)))))</f>
        <v/>
      </c>
      <c r="L66" s="85" t="str">
        <f>IF(OR($L$6="",$L$7=""),"",IF($B66="","",IF(ISNA(VLOOKUP($B66,'LT02'!$B$11:$M$80,12,FALSE)),"",IF(VLOOKUP($B66,'LT02'!$B$11:$M$80,12,FALSE)="","",VLOOKUP($B66,'LT02'!$B$11:$M$80,12,FALSE)))))</f>
        <v/>
      </c>
      <c r="M66" s="82" t="str">
        <f>IF(OR($L$6="",$L$7=""),"",IF($B66="","",IF(ISNA(VLOOKUP($B66,'LT02'!$B$11:$N$80,13,FALSE)),"",VLOOKUP($B66,'LT02'!$B$11:$N$80,13,FALSE))))</f>
        <v/>
      </c>
      <c r="N66" s="83"/>
      <c r="O66" s="84" t="str">
        <f>IF(OR($L$6="",$L$7=""),"",IF($B66="","",IF(ISNA(VLOOKUP($B66,'LT02'!$B$11:$Q$80,16,FALSE)),"",VLOOKUP($B66,'LT02'!$B$11:$Q$80,16,FALSE))))</f>
        <v/>
      </c>
      <c r="P66" s="85" t="str">
        <f>IF(OR($P$6="",$P$7=""),"",IF($B66="","",IF(ISNA(VLOOKUP($B66,'LT03'!$B$11:$M$80,12,FALSE)),"",IF(VLOOKUP($B66,'LT03'!$B$11:$M$80,12,FALSE)="","",VLOOKUP($B66,'LT03'!$B$11:$M$80,12,FALSE)))))</f>
        <v/>
      </c>
      <c r="Q66" s="82" t="str">
        <f>IF(OR($P$6="",$P$7=""),"",IF($B66="","",IF(ISNA(VLOOKUP($B66,'LT03'!$B$11:$N$80,13,FALSE)),"",VLOOKUP($B66,'LT03'!$B$11:$N$80,13,FALSE))))</f>
        <v/>
      </c>
      <c r="R66" s="83"/>
      <c r="S66" s="84" t="str">
        <f>IF(OR($P$6="",$P$7=""),"",IF($B66="","",IF(ISNA(VLOOKUP($B66,'LT03'!$B$11:$Q$80,16,FALSE)),"",VLOOKUP($B66,'LT03'!$B$11:$Q$80,16,FALSE))))</f>
        <v/>
      </c>
      <c r="T66" s="85" t="str">
        <f>IF(OR($T$6="",$T$7=""),"",IF($B66="","",IF(ISNA(VLOOKUP($B66,'LT04'!$B$11:$M$80,12,FALSE)),"",IF(VLOOKUP($B66,'LT04'!$B$11:$M$80,12,FALSE)="","",VLOOKUP($B66,'LT04'!$B$11:$M$80,12,FALSE)))))</f>
        <v/>
      </c>
      <c r="U66" s="82" t="str">
        <f>IF(OR($T$6="",$T$7=""),"",IF($B66="","",IF(ISNA(VLOOKUP($B66,'LT04'!$B$11:$N$80,13,FALSE)),"",VLOOKUP($B66,'LT04'!$B$11:$N$80,13,FALSE))))</f>
        <v/>
      </c>
      <c r="V66" s="83"/>
      <c r="W66" s="84" t="str">
        <f>IF(OR($T$6="",$T$7=""),"",IF($B66="","",IF(ISNA(VLOOKUP($B66,'LT04'!$B$11:$Q$80,16,FALSE)),"",VLOOKUP($B66,'LT04'!$B$11:$Q$80,16,FALSE))))</f>
        <v/>
      </c>
      <c r="X66" s="85" t="str">
        <f>IF(OR($X$6="",$X$7=""),"",IF($B66="","",IF(ISNA(VLOOKUP($B66,'LT05'!$B$11:$M$80,12,FALSE)),"",IF(VLOOKUP($B66,'LT05'!$B$11:$M$80,12,FALSE)="","",VLOOKUP($B66,'LT05'!$B$11:$M$80,12,FALSE)))))</f>
        <v/>
      </c>
      <c r="Y66" s="82" t="str">
        <f>IF(OR($X$6="",$X$7=""),"",IF($B66="","",IF(ISNA(VLOOKUP($B66,'LT05'!$B$11:$N$80,13,FALSE)),"",VLOOKUP($B66,'LT05'!$B$11:$N$80,13,FALSE))))</f>
        <v/>
      </c>
      <c r="Z66" s="83"/>
      <c r="AA66" s="84" t="str">
        <f>IF(OR($X$6="",$X$7=""),"",IF($B66="","",IF(ISNA(VLOOKUP($B66,'LT05'!$B$11:$Q$80,16,FALSE)),"",VLOOKUP($B66,'LT05'!$B$11:$Q$80,16,FALSE))))</f>
        <v/>
      </c>
      <c r="AB66" s="85" t="str">
        <f>IF(OR($AB$6="",$AB$7=""),"",IF($B66="","",IF(ISNA(VLOOKUP($B66,'LT06'!$B$11:$M$80,12,FALSE)),"",IF(VLOOKUP($B66,'LT06'!$B$11:$M$80,12,FALSE)="","",VLOOKUP($B66,'LT06'!$B$11:$M$80,12,FALSE)))))</f>
        <v/>
      </c>
      <c r="AC66" s="82" t="str">
        <f>IF(OR($AB$6="",$AB$7=""),"",IF($B66="","",IF(ISNA(VLOOKUP($B66,'LT06'!$B$11:$N$80,13,FALSE)),"",VLOOKUP($B66,'LT06'!$B$11:$N$80,13,FALSE))))</f>
        <v/>
      </c>
      <c r="AD66" s="83"/>
      <c r="AE66" s="84" t="str">
        <f>IF(OR($AB$6="",$AB$7=""),"",IF($B66="","",IF(ISNA(VLOOKUP($B66,'LT06'!$B$11:$Q$80,16,FALSE)),"",VLOOKUP($B66,'LT06'!$B$11:$Q$80,16,FALSE))))</f>
        <v/>
      </c>
      <c r="AF66" s="85" t="str">
        <f>IF(OR($AF$6="",$AF$7=""),"",IF($B66="","",IF(ISNA(VLOOKUP($B66,'LT07'!$B$11:$M$80,12,FALSE)),"",IF(VLOOKUP($B66,'LT07'!$B$11:$M$80,12,FALSE)="","",VLOOKUP($B66,'LT07'!$B$11:$M$80,12,FALSE)))))</f>
        <v/>
      </c>
      <c r="AG66" s="82" t="str">
        <f>IF(OR($AF$6="",$AF$7=""),"",IF($B66="","",IF(ISNA(VLOOKUP($B66,'LT07'!$B$11:$N$80,13,FALSE)),"",VLOOKUP($B66,'LT07'!$B$11:$N$80,13,FALSE))))</f>
        <v/>
      </c>
      <c r="AH66" s="83"/>
      <c r="AI66" s="84" t="str">
        <f>IF(OR($AF$6="",$AF$7=""),"",IF($B66="","",IF(ISNA(VLOOKUP($B66,'LT07'!$B$11:$Q$80,16,FALSE)),"",VLOOKUP($B66,'LT07'!$B$11:$Q$80,16,FALSE))))</f>
        <v/>
      </c>
      <c r="AJ66" s="304"/>
      <c r="AK66" s="82" t="str">
        <f>IF(OR($AJ$6="",$AJ$7=""),"",IF($B66="","",IF(ISNA(VLOOKUP($B66,'DO AN'!$B$11:$L$80,11,FALSE)),"",IF(VLOOKUP($B66,'DO AN'!$B$11:$L$80,11,FALSE)="","",VLOOKUP($B66,'DO AN'!$B$11:$L$80,11,FALSE)))))</f>
        <v/>
      </c>
      <c r="AL66" s="83"/>
      <c r="AM66" s="451"/>
      <c r="AN66" s="83"/>
      <c r="AO66" s="82" t="str">
        <f>IF(OR($AN$6="",$AN$7=""),"",IF($B66="","",IF(ISNA(VLOOKUP($B66,'DO AN 2'!$B$11:$L$80,11,FALSE)),"",IF(VLOOKUP($B66,'DO AN 2'!$B$11:$L$80,11,FALSE)="","",VLOOKUP($B66,'DO AN 2'!$B$11:$L$80,11,FALSE)))))</f>
        <v/>
      </c>
      <c r="AP66" s="83"/>
      <c r="AQ66" s="83"/>
      <c r="AR66" s="454"/>
      <c r="AS66" s="82" t="str">
        <f>IF(OR($AR$6="",$AR$7=""),"",IF($B66="","",IF(ISNA(VLOOKUP($B66,'TH01'!$B$11:$O$80,14,FALSE)),"",VLOOKUP($B66,'TH01'!$B$11:$O$80,14,FALSE))))</f>
        <v/>
      </c>
      <c r="AT66" s="83"/>
      <c r="AU66" s="303"/>
      <c r="AV66" s="304"/>
      <c r="AW66" s="82" t="str">
        <f>IF(OR($AV$6="",$AV$7=""),"",IF($B66="","",IF(ISNA(VLOOKUP($B66,'TH02'!$B$11:$O$80,14,FALSE)),"",VLOOKUP($B66,'TH02'!$B$11:$O$80,14,FALSE))))</f>
        <v/>
      </c>
      <c r="AX66" s="83"/>
      <c r="AY66" s="303"/>
      <c r="AZ66" s="304"/>
      <c r="BA66" s="82" t="str">
        <f>IF(OR($AZ$6="",$AZ$7=""),"",IF($B66="","",IF(ISNA(VLOOKUP($B66,'TH03'!$B$11:$O$80,14,FALSE)),"",VLOOKUP($B66,'TH03'!$B$11:$O$80,14,FALSE))))</f>
        <v/>
      </c>
      <c r="BB66" s="83"/>
      <c r="BC66" s="303"/>
      <c r="BD66" s="86" t="str">
        <f t="shared" si="11"/>
        <v/>
      </c>
      <c r="BE66" s="86" t="str">
        <f t="shared" si="12"/>
        <v/>
      </c>
      <c r="BF66" s="87"/>
      <c r="BG66" s="88" t="str">
        <f t="shared" si="92"/>
        <v/>
      </c>
      <c r="BH66" s="88" t="str">
        <f t="shared" si="93"/>
        <v/>
      </c>
      <c r="BI66" s="87"/>
      <c r="BJ66" s="86" t="str">
        <f t="shared" si="94"/>
        <v/>
      </c>
      <c r="BK66" s="265" t="str">
        <f t="shared" si="95"/>
        <v/>
      </c>
      <c r="BL66" s="88" t="str">
        <f t="shared" si="96"/>
        <v/>
      </c>
      <c r="BM66" s="88" t="str">
        <f t="shared" si="97"/>
        <v/>
      </c>
      <c r="BN66" s="88" t="str">
        <f t="shared" si="98"/>
        <v/>
      </c>
      <c r="BO66" s="86" t="str">
        <f t="shared" si="13"/>
        <v/>
      </c>
      <c r="BP66" s="86" t="str">
        <f t="shared" si="99"/>
        <v/>
      </c>
      <c r="BQ66" s="86" t="str">
        <f t="shared" si="14"/>
        <v/>
      </c>
      <c r="BR66" s="86" t="str">
        <f t="shared" si="100"/>
        <v/>
      </c>
      <c r="BS66" s="87"/>
      <c r="BT66" s="276" t="str">
        <f t="shared" si="15"/>
        <v/>
      </c>
      <c r="BU66" s="238" t="str">
        <f t="shared" si="16"/>
        <v/>
      </c>
      <c r="BV66" s="238" t="str">
        <f t="shared" si="17"/>
        <v/>
      </c>
      <c r="BW66" s="238" t="str">
        <f t="shared" si="18"/>
        <v/>
      </c>
      <c r="BX66" s="238" t="str">
        <f t="shared" si="19"/>
        <v/>
      </c>
      <c r="BY66" s="238" t="str">
        <f t="shared" si="20"/>
        <v/>
      </c>
      <c r="BZ66" s="238" t="str">
        <f t="shared" si="21"/>
        <v/>
      </c>
      <c r="CA66" s="238" t="str">
        <f t="shared" si="22"/>
        <v/>
      </c>
      <c r="CB66" s="238" t="str">
        <f t="shared" si="23"/>
        <v/>
      </c>
      <c r="CC66" s="238" t="str">
        <f t="shared" si="24"/>
        <v/>
      </c>
      <c r="CD66" s="238" t="str">
        <f t="shared" si="25"/>
        <v/>
      </c>
      <c r="CE66" s="238" t="str">
        <f t="shared" si="26"/>
        <v/>
      </c>
      <c r="CF66" s="238" t="str">
        <f t="shared" si="27"/>
        <v/>
      </c>
      <c r="CG66" s="239" t="str">
        <f t="shared" si="28"/>
        <v/>
      </c>
      <c r="CH66" s="238" t="str">
        <f t="shared" si="29"/>
        <v/>
      </c>
      <c r="CI66" s="238" t="str">
        <f t="shared" si="30"/>
        <v/>
      </c>
      <c r="CJ66" s="238" t="str">
        <f t="shared" si="31"/>
        <v/>
      </c>
      <c r="CK66" s="238" t="str">
        <f t="shared" si="32"/>
        <v/>
      </c>
      <c r="CL66" s="238" t="str">
        <f t="shared" si="33"/>
        <v/>
      </c>
      <c r="CM66" s="238" t="str">
        <f t="shared" si="34"/>
        <v/>
      </c>
      <c r="CN66" s="238" t="str">
        <f t="shared" si="35"/>
        <v/>
      </c>
      <c r="CO66" s="238" t="str">
        <f t="shared" si="36"/>
        <v/>
      </c>
      <c r="CP66" s="238" t="str">
        <f t="shared" si="37"/>
        <v/>
      </c>
      <c r="CQ66" s="238" t="str">
        <f t="shared" si="38"/>
        <v/>
      </c>
      <c r="CR66" s="238" t="str">
        <f t="shared" si="39"/>
        <v/>
      </c>
      <c r="CS66" s="238" t="str">
        <f t="shared" si="40"/>
        <v/>
      </c>
      <c r="CT66" s="240" t="str">
        <f t="shared" si="41"/>
        <v/>
      </c>
      <c r="CU66" s="241" t="str">
        <f t="shared" si="42"/>
        <v/>
      </c>
      <c r="CV66" s="241" t="str">
        <f t="shared" si="43"/>
        <v/>
      </c>
      <c r="CW66" s="241" t="str">
        <f t="shared" si="44"/>
        <v/>
      </c>
      <c r="CX66" s="241" t="str">
        <f t="shared" si="45"/>
        <v/>
      </c>
      <c r="CY66" s="241" t="str">
        <f t="shared" si="46"/>
        <v/>
      </c>
      <c r="CZ66" s="241" t="str">
        <f t="shared" si="47"/>
        <v/>
      </c>
      <c r="DA66" s="241" t="str">
        <f t="shared" si="48"/>
        <v/>
      </c>
      <c r="DB66" s="241" t="str">
        <f t="shared" si="49"/>
        <v/>
      </c>
      <c r="DC66" s="241" t="str">
        <f t="shared" si="50"/>
        <v/>
      </c>
      <c r="DD66" s="241" t="str">
        <f t="shared" si="51"/>
        <v/>
      </c>
      <c r="DE66" s="241" t="str">
        <f t="shared" si="52"/>
        <v/>
      </c>
      <c r="DF66" s="241" t="str">
        <f t="shared" si="53"/>
        <v/>
      </c>
      <c r="DG66" s="242" t="str">
        <f t="shared" si="101"/>
        <v/>
      </c>
      <c r="DH66" s="82" t="str">
        <f t="shared" si="54"/>
        <v/>
      </c>
      <c r="DI66" s="82" t="str">
        <f t="shared" si="55"/>
        <v/>
      </c>
      <c r="DJ66" s="82" t="str">
        <f t="shared" si="56"/>
        <v/>
      </c>
      <c r="DK66" s="82" t="str">
        <f t="shared" si="57"/>
        <v/>
      </c>
      <c r="DL66" s="82" t="str">
        <f t="shared" si="58"/>
        <v/>
      </c>
      <c r="DM66" s="82" t="str">
        <f t="shared" si="59"/>
        <v/>
      </c>
      <c r="DN66" s="82" t="str">
        <f t="shared" si="60"/>
        <v/>
      </c>
      <c r="DO66" s="82" t="str">
        <f t="shared" si="61"/>
        <v/>
      </c>
      <c r="DP66" s="82" t="str">
        <f t="shared" si="62"/>
        <v/>
      </c>
      <c r="DQ66" s="82" t="str">
        <f t="shared" si="63"/>
        <v/>
      </c>
      <c r="DR66" s="82" t="str">
        <f t="shared" si="64"/>
        <v/>
      </c>
      <c r="DS66" s="253" t="str">
        <f t="shared" si="65"/>
        <v/>
      </c>
      <c r="DT66" s="250" t="str">
        <f t="shared" si="66"/>
        <v/>
      </c>
      <c r="DU66" s="238" t="str">
        <f t="shared" si="67"/>
        <v/>
      </c>
      <c r="DV66" s="238" t="str">
        <f t="shared" si="68"/>
        <v/>
      </c>
      <c r="DW66" s="238" t="str">
        <f t="shared" si="69"/>
        <v/>
      </c>
      <c r="DX66" s="238" t="str">
        <f t="shared" si="70"/>
        <v/>
      </c>
      <c r="DY66" s="238" t="str">
        <f t="shared" si="71"/>
        <v/>
      </c>
      <c r="DZ66" s="238" t="str">
        <f t="shared" si="72"/>
        <v/>
      </c>
      <c r="EA66" s="238" t="str">
        <f t="shared" si="73"/>
        <v/>
      </c>
      <c r="EB66" s="238" t="str">
        <f t="shared" si="74"/>
        <v/>
      </c>
      <c r="EC66" s="238" t="str">
        <f t="shared" si="75"/>
        <v/>
      </c>
      <c r="ED66" s="238" t="str">
        <f t="shared" si="76"/>
        <v/>
      </c>
      <c r="EE66" s="238" t="str">
        <f t="shared" si="77"/>
        <v/>
      </c>
      <c r="EF66" s="255" t="str">
        <f t="shared" si="78"/>
        <v/>
      </c>
      <c r="EG66" s="257" t="str">
        <f t="shared" si="79"/>
        <v/>
      </c>
      <c r="EH66" s="257" t="str">
        <f t="shared" si="80"/>
        <v/>
      </c>
      <c r="EI66" s="257" t="str">
        <f t="shared" si="81"/>
        <v/>
      </c>
      <c r="EJ66" s="257" t="str">
        <f t="shared" si="82"/>
        <v/>
      </c>
      <c r="EK66" s="257" t="str">
        <f t="shared" si="83"/>
        <v/>
      </c>
      <c r="EL66" s="257" t="str">
        <f t="shared" si="84"/>
        <v/>
      </c>
      <c r="EM66" s="257" t="str">
        <f t="shared" si="85"/>
        <v/>
      </c>
      <c r="EN66" s="257" t="str">
        <f t="shared" si="86"/>
        <v/>
      </c>
      <c r="EO66" s="257" t="str">
        <f t="shared" si="87"/>
        <v/>
      </c>
      <c r="EP66" s="257" t="str">
        <f t="shared" si="88"/>
        <v/>
      </c>
      <c r="EQ66" s="257" t="str">
        <f t="shared" si="89"/>
        <v/>
      </c>
      <c r="ER66" s="257" t="str">
        <f t="shared" si="90"/>
        <v/>
      </c>
      <c r="ES66" s="262" t="str">
        <f t="shared" si="102"/>
        <v/>
      </c>
      <c r="ET66" s="307" t="str">
        <f t="shared" si="91"/>
        <v/>
      </c>
      <c r="EX66" s="89"/>
    </row>
    <row r="67" spans="1:154" s="90" customFormat="1" ht="30" customHeight="1">
      <c r="A67" s="272" t="str">
        <f>IF($B67="","",SUBTOTAL(3,$B$11:B67))</f>
        <v/>
      </c>
      <c r="B67" s="457"/>
      <c r="C67" s="76" t="str">
        <f>IF($B67="","",VLOOKUP($B67,'DS LOP HKI'!$B$2:$D$951,2,0))</f>
        <v/>
      </c>
      <c r="D67" s="77" t="str">
        <f>IF($B67="","",VLOOKUP($B67,'DS LOP HKI'!$B$2:$D$951,3,0))</f>
        <v/>
      </c>
      <c r="E67" s="78"/>
      <c r="F67" s="79"/>
      <c r="G67" s="80"/>
      <c r="H67" s="81" t="str">
        <f>IF(OR($H$6="",$H$7=""),"",IF($B67="","",IF(ISNA(VLOOKUP($B67,'LT01'!$B$11:$M$80,12,FALSE)),"",IF(VLOOKUP($B67,'LT01'!$B$11:$M$80,12,FALSE)="","",VLOOKUP($B67,'LT01'!$B$11:$M$80,12,FALSE)))))</f>
        <v/>
      </c>
      <c r="I67" s="82" t="str">
        <f>IF(OR($H$6="",$H$7=""),"",IF($B67="","",IF(ISNA(VLOOKUP($B67,'LT01'!$B$11:$N$80,13,FALSE)),"",VLOOKUP($B67,'LT01'!$B$11:$N$80,13,FALSE))))</f>
        <v/>
      </c>
      <c r="J67" s="83"/>
      <c r="K67" s="84" t="str">
        <f>IF(OR($H$6="",$H$7=""),"",IF($B67="","",IF(ISNA(VLOOKUP($B67,'LT01'!$B$11:$Q$80,16,FALSE)),"",IF(VLOOKUP($B67,'LT01'!$B$11:$Q$80,16,FALSE)="","",VLOOKUP($B67,'LT01'!$B$11:$Q$80,16,FALSE)))))</f>
        <v/>
      </c>
      <c r="L67" s="85" t="str">
        <f>IF(OR($L$6="",$L$7=""),"",IF($B67="","",IF(ISNA(VLOOKUP($B67,'LT02'!$B$11:$M$80,12,FALSE)),"",IF(VLOOKUP($B67,'LT02'!$B$11:$M$80,12,FALSE)="","",VLOOKUP($B67,'LT02'!$B$11:$M$80,12,FALSE)))))</f>
        <v/>
      </c>
      <c r="M67" s="82" t="str">
        <f>IF(OR($L$6="",$L$7=""),"",IF($B67="","",IF(ISNA(VLOOKUP($B67,'LT02'!$B$11:$N$80,13,FALSE)),"",VLOOKUP($B67,'LT02'!$B$11:$N$80,13,FALSE))))</f>
        <v/>
      </c>
      <c r="N67" s="83"/>
      <c r="O67" s="84" t="str">
        <f>IF(OR($L$6="",$L$7=""),"",IF($B67="","",IF(ISNA(VLOOKUP($B67,'LT02'!$B$11:$Q$80,16,FALSE)),"",VLOOKUP($B67,'LT02'!$B$11:$Q$80,16,FALSE))))</f>
        <v/>
      </c>
      <c r="P67" s="85" t="str">
        <f>IF(OR($P$6="",$P$7=""),"",IF($B67="","",IF(ISNA(VLOOKUP($B67,'LT03'!$B$11:$M$80,12,FALSE)),"",IF(VLOOKUP($B67,'LT03'!$B$11:$M$80,12,FALSE)="","",VLOOKUP($B67,'LT03'!$B$11:$M$80,12,FALSE)))))</f>
        <v/>
      </c>
      <c r="Q67" s="82" t="str">
        <f>IF(OR($P$6="",$P$7=""),"",IF($B67="","",IF(ISNA(VLOOKUP($B67,'LT03'!$B$11:$N$80,13,FALSE)),"",VLOOKUP($B67,'LT03'!$B$11:$N$80,13,FALSE))))</f>
        <v/>
      </c>
      <c r="R67" s="83"/>
      <c r="S67" s="84" t="str">
        <f>IF(OR($P$6="",$P$7=""),"",IF($B67="","",IF(ISNA(VLOOKUP($B67,'LT03'!$B$11:$Q$80,16,FALSE)),"",VLOOKUP($B67,'LT03'!$B$11:$Q$80,16,FALSE))))</f>
        <v/>
      </c>
      <c r="T67" s="85" t="str">
        <f>IF(OR($T$6="",$T$7=""),"",IF($B67="","",IF(ISNA(VLOOKUP($B67,'LT04'!$B$11:$M$80,12,FALSE)),"",IF(VLOOKUP($B67,'LT04'!$B$11:$M$80,12,FALSE)="","",VLOOKUP($B67,'LT04'!$B$11:$M$80,12,FALSE)))))</f>
        <v/>
      </c>
      <c r="U67" s="82" t="str">
        <f>IF(OR($T$6="",$T$7=""),"",IF($B67="","",IF(ISNA(VLOOKUP($B67,'LT04'!$B$11:$N$80,13,FALSE)),"",VLOOKUP($B67,'LT04'!$B$11:$N$80,13,FALSE))))</f>
        <v/>
      </c>
      <c r="V67" s="83"/>
      <c r="W67" s="84" t="str">
        <f>IF(OR($T$6="",$T$7=""),"",IF($B67="","",IF(ISNA(VLOOKUP($B67,'LT04'!$B$11:$Q$80,16,FALSE)),"",VLOOKUP($B67,'LT04'!$B$11:$Q$80,16,FALSE))))</f>
        <v/>
      </c>
      <c r="X67" s="85" t="str">
        <f>IF(OR($X$6="",$X$7=""),"",IF($B67="","",IF(ISNA(VLOOKUP($B67,'LT05'!$B$11:$M$80,12,FALSE)),"",IF(VLOOKUP($B67,'LT05'!$B$11:$M$80,12,FALSE)="","",VLOOKUP($B67,'LT05'!$B$11:$M$80,12,FALSE)))))</f>
        <v/>
      </c>
      <c r="Y67" s="82" t="str">
        <f>IF(OR($X$6="",$X$7=""),"",IF($B67="","",IF(ISNA(VLOOKUP($B67,'LT05'!$B$11:$N$80,13,FALSE)),"",VLOOKUP($B67,'LT05'!$B$11:$N$80,13,FALSE))))</f>
        <v/>
      </c>
      <c r="Z67" s="83"/>
      <c r="AA67" s="84" t="str">
        <f>IF(OR($X$6="",$X$7=""),"",IF($B67="","",IF(ISNA(VLOOKUP($B67,'LT05'!$B$11:$Q$80,16,FALSE)),"",VLOOKUP($B67,'LT05'!$B$11:$Q$80,16,FALSE))))</f>
        <v/>
      </c>
      <c r="AB67" s="85" t="str">
        <f>IF(OR($AB$6="",$AB$7=""),"",IF($B67="","",IF(ISNA(VLOOKUP($B67,'LT06'!$B$11:$M$80,12,FALSE)),"",IF(VLOOKUP($B67,'LT06'!$B$11:$M$80,12,FALSE)="","",VLOOKUP($B67,'LT06'!$B$11:$M$80,12,FALSE)))))</f>
        <v/>
      </c>
      <c r="AC67" s="82" t="str">
        <f>IF(OR($AB$6="",$AB$7=""),"",IF($B67="","",IF(ISNA(VLOOKUP($B67,'LT06'!$B$11:$N$80,13,FALSE)),"",VLOOKUP($B67,'LT06'!$B$11:$N$80,13,FALSE))))</f>
        <v/>
      </c>
      <c r="AD67" s="83"/>
      <c r="AE67" s="84" t="str">
        <f>IF(OR($AB$6="",$AB$7=""),"",IF($B67="","",IF(ISNA(VLOOKUP($B67,'LT06'!$B$11:$Q$80,16,FALSE)),"",VLOOKUP($B67,'LT06'!$B$11:$Q$80,16,FALSE))))</f>
        <v/>
      </c>
      <c r="AF67" s="85" t="str">
        <f>IF(OR($AF$6="",$AF$7=""),"",IF($B67="","",IF(ISNA(VLOOKUP($B67,'LT07'!$B$11:$M$80,12,FALSE)),"",IF(VLOOKUP($B67,'LT07'!$B$11:$M$80,12,FALSE)="","",VLOOKUP($B67,'LT07'!$B$11:$M$80,12,FALSE)))))</f>
        <v/>
      </c>
      <c r="AG67" s="82" t="str">
        <f>IF(OR($AF$6="",$AF$7=""),"",IF($B67="","",IF(ISNA(VLOOKUP($B67,'LT07'!$B$11:$N$80,13,FALSE)),"",VLOOKUP($B67,'LT07'!$B$11:$N$80,13,FALSE))))</f>
        <v/>
      </c>
      <c r="AH67" s="83"/>
      <c r="AI67" s="84" t="str">
        <f>IF(OR($AF$6="",$AF$7=""),"",IF($B67="","",IF(ISNA(VLOOKUP($B67,'LT07'!$B$11:$Q$80,16,FALSE)),"",VLOOKUP($B67,'LT07'!$B$11:$Q$80,16,FALSE))))</f>
        <v/>
      </c>
      <c r="AJ67" s="304"/>
      <c r="AK67" s="82" t="str">
        <f>IF(OR($AJ$6="",$AJ$7=""),"",IF($B67="","",IF(ISNA(VLOOKUP($B67,'DO AN'!$B$11:$L$80,11,FALSE)),"",IF(VLOOKUP($B67,'DO AN'!$B$11:$L$80,11,FALSE)="","",VLOOKUP($B67,'DO AN'!$B$11:$L$80,11,FALSE)))))</f>
        <v/>
      </c>
      <c r="AL67" s="83"/>
      <c r="AM67" s="451"/>
      <c r="AN67" s="83"/>
      <c r="AO67" s="82" t="str">
        <f>IF(OR($AN$6="",$AN$7=""),"",IF($B67="","",IF(ISNA(VLOOKUP($B67,'DO AN 2'!$B$11:$L$80,11,FALSE)),"",IF(VLOOKUP($B67,'DO AN 2'!$B$11:$L$80,11,FALSE)="","",VLOOKUP($B67,'DO AN 2'!$B$11:$L$80,11,FALSE)))))</f>
        <v/>
      </c>
      <c r="AP67" s="83"/>
      <c r="AQ67" s="83"/>
      <c r="AR67" s="454"/>
      <c r="AS67" s="82" t="str">
        <f>IF(OR($AR$6="",$AR$7=""),"",IF($B67="","",IF(ISNA(VLOOKUP($B67,'TH01'!$B$11:$O$80,14,FALSE)),"",VLOOKUP($B67,'TH01'!$B$11:$O$80,14,FALSE))))</f>
        <v/>
      </c>
      <c r="AT67" s="83"/>
      <c r="AU67" s="303"/>
      <c r="AV67" s="304"/>
      <c r="AW67" s="82" t="str">
        <f>IF(OR($AV$6="",$AV$7=""),"",IF($B67="","",IF(ISNA(VLOOKUP($B67,'TH02'!$B$11:$O$80,14,FALSE)),"",VLOOKUP($B67,'TH02'!$B$11:$O$80,14,FALSE))))</f>
        <v/>
      </c>
      <c r="AX67" s="83"/>
      <c r="AY67" s="303"/>
      <c r="AZ67" s="304"/>
      <c r="BA67" s="82" t="str">
        <f>IF(OR($AZ$6="",$AZ$7=""),"",IF($B67="","",IF(ISNA(VLOOKUP($B67,'TH03'!$B$11:$O$80,14,FALSE)),"",VLOOKUP($B67,'TH03'!$B$11:$O$80,14,FALSE))))</f>
        <v/>
      </c>
      <c r="BB67" s="83"/>
      <c r="BC67" s="303"/>
      <c r="BD67" s="86" t="str">
        <f t="shared" si="11"/>
        <v/>
      </c>
      <c r="BE67" s="86" t="str">
        <f t="shared" si="12"/>
        <v/>
      </c>
      <c r="BF67" s="87"/>
      <c r="BG67" s="88" t="str">
        <f t="shared" si="92"/>
        <v/>
      </c>
      <c r="BH67" s="88" t="str">
        <f t="shared" si="93"/>
        <v/>
      </c>
      <c r="BI67" s="87"/>
      <c r="BJ67" s="86" t="str">
        <f t="shared" si="94"/>
        <v/>
      </c>
      <c r="BK67" s="265" t="str">
        <f t="shared" si="95"/>
        <v/>
      </c>
      <c r="BL67" s="88" t="str">
        <f t="shared" si="96"/>
        <v/>
      </c>
      <c r="BM67" s="88" t="str">
        <f t="shared" si="97"/>
        <v/>
      </c>
      <c r="BN67" s="88" t="str">
        <f t="shared" si="98"/>
        <v/>
      </c>
      <c r="BO67" s="86" t="str">
        <f t="shared" si="13"/>
        <v/>
      </c>
      <c r="BP67" s="86" t="str">
        <f t="shared" si="99"/>
        <v/>
      </c>
      <c r="BQ67" s="86" t="str">
        <f t="shared" si="14"/>
        <v/>
      </c>
      <c r="BR67" s="86" t="str">
        <f t="shared" si="100"/>
        <v/>
      </c>
      <c r="BS67" s="87"/>
      <c r="BT67" s="276" t="str">
        <f t="shared" si="15"/>
        <v/>
      </c>
      <c r="BU67" s="238" t="str">
        <f t="shared" si="16"/>
        <v/>
      </c>
      <c r="BV67" s="238" t="str">
        <f t="shared" si="17"/>
        <v/>
      </c>
      <c r="BW67" s="238" t="str">
        <f t="shared" si="18"/>
        <v/>
      </c>
      <c r="BX67" s="238" t="str">
        <f t="shared" si="19"/>
        <v/>
      </c>
      <c r="BY67" s="238" t="str">
        <f t="shared" si="20"/>
        <v/>
      </c>
      <c r="BZ67" s="238" t="str">
        <f t="shared" si="21"/>
        <v/>
      </c>
      <c r="CA67" s="238" t="str">
        <f t="shared" si="22"/>
        <v/>
      </c>
      <c r="CB67" s="238" t="str">
        <f t="shared" si="23"/>
        <v/>
      </c>
      <c r="CC67" s="238" t="str">
        <f t="shared" si="24"/>
        <v/>
      </c>
      <c r="CD67" s="238" t="str">
        <f t="shared" si="25"/>
        <v/>
      </c>
      <c r="CE67" s="238" t="str">
        <f t="shared" si="26"/>
        <v/>
      </c>
      <c r="CF67" s="238" t="str">
        <f t="shared" si="27"/>
        <v/>
      </c>
      <c r="CG67" s="239" t="str">
        <f t="shared" si="28"/>
        <v/>
      </c>
      <c r="CH67" s="238" t="str">
        <f t="shared" si="29"/>
        <v/>
      </c>
      <c r="CI67" s="238" t="str">
        <f t="shared" si="30"/>
        <v/>
      </c>
      <c r="CJ67" s="238" t="str">
        <f t="shared" si="31"/>
        <v/>
      </c>
      <c r="CK67" s="238" t="str">
        <f t="shared" si="32"/>
        <v/>
      </c>
      <c r="CL67" s="238" t="str">
        <f t="shared" si="33"/>
        <v/>
      </c>
      <c r="CM67" s="238" t="str">
        <f t="shared" si="34"/>
        <v/>
      </c>
      <c r="CN67" s="238" t="str">
        <f t="shared" si="35"/>
        <v/>
      </c>
      <c r="CO67" s="238" t="str">
        <f t="shared" si="36"/>
        <v/>
      </c>
      <c r="CP67" s="238" t="str">
        <f t="shared" si="37"/>
        <v/>
      </c>
      <c r="CQ67" s="238" t="str">
        <f t="shared" si="38"/>
        <v/>
      </c>
      <c r="CR67" s="238" t="str">
        <f t="shared" si="39"/>
        <v/>
      </c>
      <c r="CS67" s="238" t="str">
        <f t="shared" si="40"/>
        <v/>
      </c>
      <c r="CT67" s="240" t="str">
        <f t="shared" si="41"/>
        <v/>
      </c>
      <c r="CU67" s="241" t="str">
        <f t="shared" si="42"/>
        <v/>
      </c>
      <c r="CV67" s="241" t="str">
        <f t="shared" si="43"/>
        <v/>
      </c>
      <c r="CW67" s="241" t="str">
        <f t="shared" si="44"/>
        <v/>
      </c>
      <c r="CX67" s="241" t="str">
        <f t="shared" si="45"/>
        <v/>
      </c>
      <c r="CY67" s="241" t="str">
        <f t="shared" si="46"/>
        <v/>
      </c>
      <c r="CZ67" s="241" t="str">
        <f t="shared" si="47"/>
        <v/>
      </c>
      <c r="DA67" s="241" t="str">
        <f t="shared" si="48"/>
        <v/>
      </c>
      <c r="DB67" s="241" t="str">
        <f t="shared" si="49"/>
        <v/>
      </c>
      <c r="DC67" s="241" t="str">
        <f t="shared" si="50"/>
        <v/>
      </c>
      <c r="DD67" s="241" t="str">
        <f t="shared" si="51"/>
        <v/>
      </c>
      <c r="DE67" s="241" t="str">
        <f t="shared" si="52"/>
        <v/>
      </c>
      <c r="DF67" s="241" t="str">
        <f t="shared" si="53"/>
        <v/>
      </c>
      <c r="DG67" s="242" t="str">
        <f t="shared" si="101"/>
        <v/>
      </c>
      <c r="DH67" s="82" t="str">
        <f t="shared" si="54"/>
        <v/>
      </c>
      <c r="DI67" s="82" t="str">
        <f t="shared" si="55"/>
        <v/>
      </c>
      <c r="DJ67" s="82" t="str">
        <f t="shared" si="56"/>
        <v/>
      </c>
      <c r="DK67" s="82" t="str">
        <f t="shared" si="57"/>
        <v/>
      </c>
      <c r="DL67" s="82" t="str">
        <f t="shared" si="58"/>
        <v/>
      </c>
      <c r="DM67" s="82" t="str">
        <f t="shared" si="59"/>
        <v/>
      </c>
      <c r="DN67" s="82" t="str">
        <f t="shared" si="60"/>
        <v/>
      </c>
      <c r="DO67" s="82" t="str">
        <f t="shared" si="61"/>
        <v/>
      </c>
      <c r="DP67" s="82" t="str">
        <f t="shared" si="62"/>
        <v/>
      </c>
      <c r="DQ67" s="82" t="str">
        <f t="shared" si="63"/>
        <v/>
      </c>
      <c r="DR67" s="82" t="str">
        <f t="shared" si="64"/>
        <v/>
      </c>
      <c r="DS67" s="253" t="str">
        <f t="shared" si="65"/>
        <v/>
      </c>
      <c r="DT67" s="250" t="str">
        <f t="shared" si="66"/>
        <v/>
      </c>
      <c r="DU67" s="238" t="str">
        <f t="shared" si="67"/>
        <v/>
      </c>
      <c r="DV67" s="238" t="str">
        <f t="shared" si="68"/>
        <v/>
      </c>
      <c r="DW67" s="238" t="str">
        <f t="shared" si="69"/>
        <v/>
      </c>
      <c r="DX67" s="238" t="str">
        <f t="shared" si="70"/>
        <v/>
      </c>
      <c r="DY67" s="238" t="str">
        <f t="shared" si="71"/>
        <v/>
      </c>
      <c r="DZ67" s="238" t="str">
        <f t="shared" si="72"/>
        <v/>
      </c>
      <c r="EA67" s="238" t="str">
        <f t="shared" si="73"/>
        <v/>
      </c>
      <c r="EB67" s="238" t="str">
        <f t="shared" si="74"/>
        <v/>
      </c>
      <c r="EC67" s="238" t="str">
        <f t="shared" si="75"/>
        <v/>
      </c>
      <c r="ED67" s="238" t="str">
        <f t="shared" si="76"/>
        <v/>
      </c>
      <c r="EE67" s="238" t="str">
        <f t="shared" si="77"/>
        <v/>
      </c>
      <c r="EF67" s="255" t="str">
        <f t="shared" si="78"/>
        <v/>
      </c>
      <c r="EG67" s="257" t="str">
        <f t="shared" si="79"/>
        <v/>
      </c>
      <c r="EH67" s="257" t="str">
        <f t="shared" si="80"/>
        <v/>
      </c>
      <c r="EI67" s="257" t="str">
        <f t="shared" si="81"/>
        <v/>
      </c>
      <c r="EJ67" s="257" t="str">
        <f t="shared" si="82"/>
        <v/>
      </c>
      <c r="EK67" s="257" t="str">
        <f t="shared" si="83"/>
        <v/>
      </c>
      <c r="EL67" s="257" t="str">
        <f t="shared" si="84"/>
        <v/>
      </c>
      <c r="EM67" s="257" t="str">
        <f t="shared" si="85"/>
        <v/>
      </c>
      <c r="EN67" s="257" t="str">
        <f t="shared" si="86"/>
        <v/>
      </c>
      <c r="EO67" s="257" t="str">
        <f t="shared" si="87"/>
        <v/>
      </c>
      <c r="EP67" s="257" t="str">
        <f t="shared" si="88"/>
        <v/>
      </c>
      <c r="EQ67" s="257" t="str">
        <f t="shared" si="89"/>
        <v/>
      </c>
      <c r="ER67" s="257" t="str">
        <f t="shared" si="90"/>
        <v/>
      </c>
      <c r="ES67" s="262" t="str">
        <f t="shared" si="102"/>
        <v/>
      </c>
      <c r="ET67" s="307" t="str">
        <f t="shared" si="91"/>
        <v/>
      </c>
      <c r="EX67" s="89"/>
    </row>
    <row r="68" spans="1:154" s="90" customFormat="1" ht="30" customHeight="1">
      <c r="A68" s="272" t="str">
        <f>IF($B68="","",SUBTOTAL(3,$B$11:B68))</f>
        <v/>
      </c>
      <c r="B68" s="457"/>
      <c r="C68" s="76" t="str">
        <f>IF($B68="","",VLOOKUP($B68,'DS LOP HKI'!$B$2:$D$951,2,0))</f>
        <v/>
      </c>
      <c r="D68" s="77" t="str">
        <f>IF($B68="","",VLOOKUP($B68,'DS LOP HKI'!$B$2:$D$951,3,0))</f>
        <v/>
      </c>
      <c r="E68" s="78"/>
      <c r="F68" s="79"/>
      <c r="G68" s="80"/>
      <c r="H68" s="81" t="str">
        <f>IF(OR($H$6="",$H$7=""),"",IF($B68="","",IF(ISNA(VLOOKUP($B68,'LT01'!$B$11:$M$80,12,FALSE)),"",IF(VLOOKUP($B68,'LT01'!$B$11:$M$80,12,FALSE)="","",VLOOKUP($B68,'LT01'!$B$11:$M$80,12,FALSE)))))</f>
        <v/>
      </c>
      <c r="I68" s="82" t="str">
        <f>IF(OR($H$6="",$H$7=""),"",IF($B68="","",IF(ISNA(VLOOKUP($B68,'LT01'!$B$11:$N$80,13,FALSE)),"",VLOOKUP($B68,'LT01'!$B$11:$N$80,13,FALSE))))</f>
        <v/>
      </c>
      <c r="J68" s="83"/>
      <c r="K68" s="84" t="str">
        <f>IF(OR($H$6="",$H$7=""),"",IF($B68="","",IF(ISNA(VLOOKUP($B68,'LT01'!$B$11:$Q$80,16,FALSE)),"",IF(VLOOKUP($B68,'LT01'!$B$11:$Q$80,16,FALSE)="","",VLOOKUP($B68,'LT01'!$B$11:$Q$80,16,FALSE)))))</f>
        <v/>
      </c>
      <c r="L68" s="85" t="str">
        <f>IF(OR($L$6="",$L$7=""),"",IF($B68="","",IF(ISNA(VLOOKUP($B68,'LT02'!$B$11:$M$80,12,FALSE)),"",IF(VLOOKUP($B68,'LT02'!$B$11:$M$80,12,FALSE)="","",VLOOKUP($B68,'LT02'!$B$11:$M$80,12,FALSE)))))</f>
        <v/>
      </c>
      <c r="M68" s="82" t="str">
        <f>IF(OR($L$6="",$L$7=""),"",IF($B68="","",IF(ISNA(VLOOKUP($B68,'LT02'!$B$11:$N$80,13,FALSE)),"",VLOOKUP($B68,'LT02'!$B$11:$N$80,13,FALSE))))</f>
        <v/>
      </c>
      <c r="N68" s="83"/>
      <c r="O68" s="84" t="str">
        <f>IF(OR($L$6="",$L$7=""),"",IF($B68="","",IF(ISNA(VLOOKUP($B68,'LT02'!$B$11:$Q$80,16,FALSE)),"",VLOOKUP($B68,'LT02'!$B$11:$Q$80,16,FALSE))))</f>
        <v/>
      </c>
      <c r="P68" s="85" t="str">
        <f>IF(OR($P$6="",$P$7=""),"",IF($B68="","",IF(ISNA(VLOOKUP($B68,'LT03'!$B$11:$M$80,12,FALSE)),"",IF(VLOOKUP($B68,'LT03'!$B$11:$M$80,12,FALSE)="","",VLOOKUP($B68,'LT03'!$B$11:$M$80,12,FALSE)))))</f>
        <v/>
      </c>
      <c r="Q68" s="82" t="str">
        <f>IF(OR($P$6="",$P$7=""),"",IF($B68="","",IF(ISNA(VLOOKUP($B68,'LT03'!$B$11:$N$80,13,FALSE)),"",VLOOKUP($B68,'LT03'!$B$11:$N$80,13,FALSE))))</f>
        <v/>
      </c>
      <c r="R68" s="83"/>
      <c r="S68" s="84" t="str">
        <f>IF(OR($P$6="",$P$7=""),"",IF($B68="","",IF(ISNA(VLOOKUP($B68,'LT03'!$B$11:$Q$80,16,FALSE)),"",VLOOKUP($B68,'LT03'!$B$11:$Q$80,16,FALSE))))</f>
        <v/>
      </c>
      <c r="T68" s="85" t="str">
        <f>IF(OR($T$6="",$T$7=""),"",IF($B68="","",IF(ISNA(VLOOKUP($B68,'LT04'!$B$11:$M$80,12,FALSE)),"",IF(VLOOKUP($B68,'LT04'!$B$11:$M$80,12,FALSE)="","",VLOOKUP($B68,'LT04'!$B$11:$M$80,12,FALSE)))))</f>
        <v/>
      </c>
      <c r="U68" s="82" t="str">
        <f>IF(OR($T$6="",$T$7=""),"",IF($B68="","",IF(ISNA(VLOOKUP($B68,'LT04'!$B$11:$N$80,13,FALSE)),"",VLOOKUP($B68,'LT04'!$B$11:$N$80,13,FALSE))))</f>
        <v/>
      </c>
      <c r="V68" s="83"/>
      <c r="W68" s="84" t="str">
        <f>IF(OR($T$6="",$T$7=""),"",IF($B68="","",IF(ISNA(VLOOKUP($B68,'LT04'!$B$11:$Q$80,16,FALSE)),"",VLOOKUP($B68,'LT04'!$B$11:$Q$80,16,FALSE))))</f>
        <v/>
      </c>
      <c r="X68" s="85" t="str">
        <f>IF(OR($X$6="",$X$7=""),"",IF($B68="","",IF(ISNA(VLOOKUP($B68,'LT05'!$B$11:$M$80,12,FALSE)),"",IF(VLOOKUP($B68,'LT05'!$B$11:$M$80,12,FALSE)="","",VLOOKUP($B68,'LT05'!$B$11:$M$80,12,FALSE)))))</f>
        <v/>
      </c>
      <c r="Y68" s="82" t="str">
        <f>IF(OR($X$6="",$X$7=""),"",IF($B68="","",IF(ISNA(VLOOKUP($B68,'LT05'!$B$11:$N$80,13,FALSE)),"",VLOOKUP($B68,'LT05'!$B$11:$N$80,13,FALSE))))</f>
        <v/>
      </c>
      <c r="Z68" s="83"/>
      <c r="AA68" s="84" t="str">
        <f>IF(OR($X$6="",$X$7=""),"",IF($B68="","",IF(ISNA(VLOOKUP($B68,'LT05'!$B$11:$Q$80,16,FALSE)),"",VLOOKUP($B68,'LT05'!$B$11:$Q$80,16,FALSE))))</f>
        <v/>
      </c>
      <c r="AB68" s="85" t="str">
        <f>IF(OR($AB$6="",$AB$7=""),"",IF($B68="","",IF(ISNA(VLOOKUP($B68,'LT06'!$B$11:$M$80,12,FALSE)),"",IF(VLOOKUP($B68,'LT06'!$B$11:$M$80,12,FALSE)="","",VLOOKUP($B68,'LT06'!$B$11:$M$80,12,FALSE)))))</f>
        <v/>
      </c>
      <c r="AC68" s="82" t="str">
        <f>IF(OR($AB$6="",$AB$7=""),"",IF($B68="","",IF(ISNA(VLOOKUP($B68,'LT06'!$B$11:$N$80,13,FALSE)),"",VLOOKUP($B68,'LT06'!$B$11:$N$80,13,FALSE))))</f>
        <v/>
      </c>
      <c r="AD68" s="83"/>
      <c r="AE68" s="84" t="str">
        <f>IF(OR($AB$6="",$AB$7=""),"",IF($B68="","",IF(ISNA(VLOOKUP($B68,'LT06'!$B$11:$Q$80,16,FALSE)),"",VLOOKUP($B68,'LT06'!$B$11:$Q$80,16,FALSE))))</f>
        <v/>
      </c>
      <c r="AF68" s="85" t="str">
        <f>IF(OR($AF$6="",$AF$7=""),"",IF($B68="","",IF(ISNA(VLOOKUP($B68,'LT07'!$B$11:$M$80,12,FALSE)),"",IF(VLOOKUP($B68,'LT07'!$B$11:$M$80,12,FALSE)="","",VLOOKUP($B68,'LT07'!$B$11:$M$80,12,FALSE)))))</f>
        <v/>
      </c>
      <c r="AG68" s="82" t="str">
        <f>IF(OR($AF$6="",$AF$7=""),"",IF($B68="","",IF(ISNA(VLOOKUP($B68,'LT07'!$B$11:$N$80,13,FALSE)),"",VLOOKUP($B68,'LT07'!$B$11:$N$80,13,FALSE))))</f>
        <v/>
      </c>
      <c r="AH68" s="83"/>
      <c r="AI68" s="84" t="str">
        <f>IF(OR($AF$6="",$AF$7=""),"",IF($B68="","",IF(ISNA(VLOOKUP($B68,'LT07'!$B$11:$Q$80,16,FALSE)),"",VLOOKUP($B68,'LT07'!$B$11:$Q$80,16,FALSE))))</f>
        <v/>
      </c>
      <c r="AJ68" s="304"/>
      <c r="AK68" s="82" t="str">
        <f>IF(OR($AJ$6="",$AJ$7=""),"",IF($B68="","",IF(ISNA(VLOOKUP($B68,'DO AN'!$B$11:$L$80,11,FALSE)),"",IF(VLOOKUP($B68,'DO AN'!$B$11:$L$80,11,FALSE)="","",VLOOKUP($B68,'DO AN'!$B$11:$L$80,11,FALSE)))))</f>
        <v/>
      </c>
      <c r="AL68" s="83"/>
      <c r="AM68" s="451"/>
      <c r="AN68" s="83"/>
      <c r="AO68" s="82" t="str">
        <f>IF(OR($AN$6="",$AN$7=""),"",IF($B68="","",IF(ISNA(VLOOKUP($B68,'DO AN 2'!$B$11:$L$80,11,FALSE)),"",IF(VLOOKUP($B68,'DO AN 2'!$B$11:$L$80,11,FALSE)="","",VLOOKUP($B68,'DO AN 2'!$B$11:$L$80,11,FALSE)))))</f>
        <v/>
      </c>
      <c r="AP68" s="83"/>
      <c r="AQ68" s="83"/>
      <c r="AR68" s="454"/>
      <c r="AS68" s="82" t="str">
        <f>IF(OR($AR$6="",$AR$7=""),"",IF($B68="","",IF(ISNA(VLOOKUP($B68,'TH01'!$B$11:$O$80,14,FALSE)),"",VLOOKUP($B68,'TH01'!$B$11:$O$80,14,FALSE))))</f>
        <v/>
      </c>
      <c r="AT68" s="83"/>
      <c r="AU68" s="303"/>
      <c r="AV68" s="304"/>
      <c r="AW68" s="82" t="str">
        <f>IF(OR($AV$6="",$AV$7=""),"",IF($B68="","",IF(ISNA(VLOOKUP($B68,'TH02'!$B$11:$O$80,14,FALSE)),"",VLOOKUP($B68,'TH02'!$B$11:$O$80,14,FALSE))))</f>
        <v/>
      </c>
      <c r="AX68" s="83"/>
      <c r="AY68" s="303"/>
      <c r="AZ68" s="304"/>
      <c r="BA68" s="82" t="str">
        <f>IF(OR($AZ$6="",$AZ$7=""),"",IF($B68="","",IF(ISNA(VLOOKUP($B68,'TH03'!$B$11:$O$80,14,FALSE)),"",VLOOKUP($B68,'TH03'!$B$11:$O$80,14,FALSE))))</f>
        <v/>
      </c>
      <c r="BB68" s="83"/>
      <c r="BC68" s="303"/>
      <c r="BD68" s="86" t="str">
        <f t="shared" si="11"/>
        <v/>
      </c>
      <c r="BE68" s="86" t="str">
        <f t="shared" si="12"/>
        <v/>
      </c>
      <c r="BF68" s="87"/>
      <c r="BG68" s="88" t="str">
        <f t="shared" si="92"/>
        <v/>
      </c>
      <c r="BH68" s="88" t="str">
        <f t="shared" si="93"/>
        <v/>
      </c>
      <c r="BI68" s="87"/>
      <c r="BJ68" s="86" t="str">
        <f t="shared" si="94"/>
        <v/>
      </c>
      <c r="BK68" s="265" t="str">
        <f t="shared" si="95"/>
        <v/>
      </c>
      <c r="BL68" s="88" t="str">
        <f t="shared" si="96"/>
        <v/>
      </c>
      <c r="BM68" s="88" t="str">
        <f t="shared" si="97"/>
        <v/>
      </c>
      <c r="BN68" s="88" t="str">
        <f t="shared" si="98"/>
        <v/>
      </c>
      <c r="BO68" s="86" t="str">
        <f t="shared" si="13"/>
        <v/>
      </c>
      <c r="BP68" s="86" t="str">
        <f t="shared" si="99"/>
        <v/>
      </c>
      <c r="BQ68" s="86" t="str">
        <f t="shared" si="14"/>
        <v/>
      </c>
      <c r="BR68" s="86" t="str">
        <f t="shared" si="100"/>
        <v/>
      </c>
      <c r="BS68" s="87"/>
      <c r="BT68" s="276" t="str">
        <f t="shared" si="15"/>
        <v/>
      </c>
      <c r="BU68" s="238" t="str">
        <f t="shared" si="16"/>
        <v/>
      </c>
      <c r="BV68" s="238" t="str">
        <f t="shared" si="17"/>
        <v/>
      </c>
      <c r="BW68" s="238" t="str">
        <f t="shared" si="18"/>
        <v/>
      </c>
      <c r="BX68" s="238" t="str">
        <f t="shared" si="19"/>
        <v/>
      </c>
      <c r="BY68" s="238" t="str">
        <f t="shared" si="20"/>
        <v/>
      </c>
      <c r="BZ68" s="238" t="str">
        <f t="shared" si="21"/>
        <v/>
      </c>
      <c r="CA68" s="238" t="str">
        <f t="shared" si="22"/>
        <v/>
      </c>
      <c r="CB68" s="238" t="str">
        <f t="shared" si="23"/>
        <v/>
      </c>
      <c r="CC68" s="238" t="str">
        <f t="shared" si="24"/>
        <v/>
      </c>
      <c r="CD68" s="238" t="str">
        <f t="shared" si="25"/>
        <v/>
      </c>
      <c r="CE68" s="238" t="str">
        <f t="shared" si="26"/>
        <v/>
      </c>
      <c r="CF68" s="238" t="str">
        <f t="shared" si="27"/>
        <v/>
      </c>
      <c r="CG68" s="239" t="str">
        <f t="shared" si="28"/>
        <v/>
      </c>
      <c r="CH68" s="238" t="str">
        <f t="shared" si="29"/>
        <v/>
      </c>
      <c r="CI68" s="238" t="str">
        <f t="shared" si="30"/>
        <v/>
      </c>
      <c r="CJ68" s="238" t="str">
        <f t="shared" si="31"/>
        <v/>
      </c>
      <c r="CK68" s="238" t="str">
        <f t="shared" si="32"/>
        <v/>
      </c>
      <c r="CL68" s="238" t="str">
        <f t="shared" si="33"/>
        <v/>
      </c>
      <c r="CM68" s="238" t="str">
        <f t="shared" si="34"/>
        <v/>
      </c>
      <c r="CN68" s="238" t="str">
        <f t="shared" si="35"/>
        <v/>
      </c>
      <c r="CO68" s="238" t="str">
        <f t="shared" si="36"/>
        <v/>
      </c>
      <c r="CP68" s="238" t="str">
        <f t="shared" si="37"/>
        <v/>
      </c>
      <c r="CQ68" s="238" t="str">
        <f t="shared" si="38"/>
        <v/>
      </c>
      <c r="CR68" s="238" t="str">
        <f t="shared" si="39"/>
        <v/>
      </c>
      <c r="CS68" s="238" t="str">
        <f t="shared" si="40"/>
        <v/>
      </c>
      <c r="CT68" s="240" t="str">
        <f t="shared" si="41"/>
        <v/>
      </c>
      <c r="CU68" s="241" t="str">
        <f t="shared" si="42"/>
        <v/>
      </c>
      <c r="CV68" s="241" t="str">
        <f t="shared" si="43"/>
        <v/>
      </c>
      <c r="CW68" s="241" t="str">
        <f t="shared" si="44"/>
        <v/>
      </c>
      <c r="CX68" s="241" t="str">
        <f t="shared" si="45"/>
        <v/>
      </c>
      <c r="CY68" s="241" t="str">
        <f t="shared" si="46"/>
        <v/>
      </c>
      <c r="CZ68" s="241" t="str">
        <f t="shared" si="47"/>
        <v/>
      </c>
      <c r="DA68" s="241" t="str">
        <f t="shared" si="48"/>
        <v/>
      </c>
      <c r="DB68" s="241" t="str">
        <f t="shared" si="49"/>
        <v/>
      </c>
      <c r="DC68" s="241" t="str">
        <f t="shared" si="50"/>
        <v/>
      </c>
      <c r="DD68" s="241" t="str">
        <f t="shared" si="51"/>
        <v/>
      </c>
      <c r="DE68" s="241" t="str">
        <f t="shared" si="52"/>
        <v/>
      </c>
      <c r="DF68" s="241" t="str">
        <f t="shared" si="53"/>
        <v/>
      </c>
      <c r="DG68" s="242" t="str">
        <f t="shared" si="101"/>
        <v/>
      </c>
      <c r="DH68" s="82" t="str">
        <f t="shared" si="54"/>
        <v/>
      </c>
      <c r="DI68" s="82" t="str">
        <f t="shared" si="55"/>
        <v/>
      </c>
      <c r="DJ68" s="82" t="str">
        <f t="shared" si="56"/>
        <v/>
      </c>
      <c r="DK68" s="82" t="str">
        <f t="shared" si="57"/>
        <v/>
      </c>
      <c r="DL68" s="82" t="str">
        <f t="shared" si="58"/>
        <v/>
      </c>
      <c r="DM68" s="82" t="str">
        <f t="shared" si="59"/>
        <v/>
      </c>
      <c r="DN68" s="82" t="str">
        <f t="shared" si="60"/>
        <v/>
      </c>
      <c r="DO68" s="82" t="str">
        <f t="shared" si="61"/>
        <v/>
      </c>
      <c r="DP68" s="82" t="str">
        <f t="shared" si="62"/>
        <v/>
      </c>
      <c r="DQ68" s="82" t="str">
        <f t="shared" si="63"/>
        <v/>
      </c>
      <c r="DR68" s="82" t="str">
        <f t="shared" si="64"/>
        <v/>
      </c>
      <c r="DS68" s="253" t="str">
        <f t="shared" si="65"/>
        <v/>
      </c>
      <c r="DT68" s="250" t="str">
        <f t="shared" si="66"/>
        <v/>
      </c>
      <c r="DU68" s="238" t="str">
        <f t="shared" si="67"/>
        <v/>
      </c>
      <c r="DV68" s="238" t="str">
        <f t="shared" si="68"/>
        <v/>
      </c>
      <c r="DW68" s="238" t="str">
        <f t="shared" si="69"/>
        <v/>
      </c>
      <c r="DX68" s="238" t="str">
        <f t="shared" si="70"/>
        <v/>
      </c>
      <c r="DY68" s="238" t="str">
        <f t="shared" si="71"/>
        <v/>
      </c>
      <c r="DZ68" s="238" t="str">
        <f t="shared" si="72"/>
        <v/>
      </c>
      <c r="EA68" s="238" t="str">
        <f t="shared" si="73"/>
        <v/>
      </c>
      <c r="EB68" s="238" t="str">
        <f t="shared" si="74"/>
        <v/>
      </c>
      <c r="EC68" s="238" t="str">
        <f t="shared" si="75"/>
        <v/>
      </c>
      <c r="ED68" s="238" t="str">
        <f t="shared" si="76"/>
        <v/>
      </c>
      <c r="EE68" s="238" t="str">
        <f t="shared" si="77"/>
        <v/>
      </c>
      <c r="EF68" s="255" t="str">
        <f t="shared" si="78"/>
        <v/>
      </c>
      <c r="EG68" s="257" t="str">
        <f t="shared" si="79"/>
        <v/>
      </c>
      <c r="EH68" s="257" t="str">
        <f t="shared" si="80"/>
        <v/>
      </c>
      <c r="EI68" s="257" t="str">
        <f t="shared" si="81"/>
        <v/>
      </c>
      <c r="EJ68" s="257" t="str">
        <f t="shared" si="82"/>
        <v/>
      </c>
      <c r="EK68" s="257" t="str">
        <f t="shared" si="83"/>
        <v/>
      </c>
      <c r="EL68" s="257" t="str">
        <f t="shared" si="84"/>
        <v/>
      </c>
      <c r="EM68" s="257" t="str">
        <f t="shared" si="85"/>
        <v/>
      </c>
      <c r="EN68" s="257" t="str">
        <f t="shared" si="86"/>
        <v/>
      </c>
      <c r="EO68" s="257" t="str">
        <f t="shared" si="87"/>
        <v/>
      </c>
      <c r="EP68" s="257" t="str">
        <f t="shared" si="88"/>
        <v/>
      </c>
      <c r="EQ68" s="257" t="str">
        <f t="shared" si="89"/>
        <v/>
      </c>
      <c r="ER68" s="257" t="str">
        <f t="shared" si="90"/>
        <v/>
      </c>
      <c r="ES68" s="262" t="str">
        <f t="shared" si="102"/>
        <v/>
      </c>
      <c r="ET68" s="307" t="str">
        <f t="shared" si="91"/>
        <v/>
      </c>
      <c r="EX68" s="89"/>
    </row>
    <row r="69" spans="1:154" s="90" customFormat="1" ht="30" customHeight="1">
      <c r="A69" s="272" t="str">
        <f>IF($B69="","",SUBTOTAL(3,$B$11:B69))</f>
        <v/>
      </c>
      <c r="B69" s="457"/>
      <c r="C69" s="76" t="str">
        <f>IF($B69="","",VLOOKUP($B69,'DS LOP HKI'!$B$2:$D$951,2,0))</f>
        <v/>
      </c>
      <c r="D69" s="77" t="str">
        <f>IF($B69="","",VLOOKUP($B69,'DS LOP HKI'!$B$2:$D$951,3,0))</f>
        <v/>
      </c>
      <c r="E69" s="78"/>
      <c r="F69" s="79"/>
      <c r="G69" s="80"/>
      <c r="H69" s="81" t="str">
        <f>IF(OR($H$6="",$H$7=""),"",IF($B69="","",IF(ISNA(VLOOKUP($B69,'LT01'!$B$11:$M$80,12,FALSE)),"",IF(VLOOKUP($B69,'LT01'!$B$11:$M$80,12,FALSE)="","",VLOOKUP($B69,'LT01'!$B$11:$M$80,12,FALSE)))))</f>
        <v/>
      </c>
      <c r="I69" s="82" t="str">
        <f>IF(OR($H$6="",$H$7=""),"",IF($B69="","",IF(ISNA(VLOOKUP($B69,'LT01'!$B$11:$N$80,13,FALSE)),"",VLOOKUP($B69,'LT01'!$B$11:$N$80,13,FALSE))))</f>
        <v/>
      </c>
      <c r="J69" s="83"/>
      <c r="K69" s="84" t="str">
        <f>IF(OR($H$6="",$H$7=""),"",IF($B69="","",IF(ISNA(VLOOKUP($B69,'LT01'!$B$11:$Q$80,16,FALSE)),"",IF(VLOOKUP($B69,'LT01'!$B$11:$Q$80,16,FALSE)="","",VLOOKUP($B69,'LT01'!$B$11:$Q$80,16,FALSE)))))</f>
        <v/>
      </c>
      <c r="L69" s="85" t="str">
        <f>IF(OR($L$6="",$L$7=""),"",IF($B69="","",IF(ISNA(VLOOKUP($B69,'LT02'!$B$11:$M$80,12,FALSE)),"",IF(VLOOKUP($B69,'LT02'!$B$11:$M$80,12,FALSE)="","",VLOOKUP($B69,'LT02'!$B$11:$M$80,12,FALSE)))))</f>
        <v/>
      </c>
      <c r="M69" s="82" t="str">
        <f>IF(OR($L$6="",$L$7=""),"",IF($B69="","",IF(ISNA(VLOOKUP($B69,'LT02'!$B$11:$N$80,13,FALSE)),"",VLOOKUP($B69,'LT02'!$B$11:$N$80,13,FALSE))))</f>
        <v/>
      </c>
      <c r="N69" s="83"/>
      <c r="O69" s="84" t="str">
        <f>IF(OR($L$6="",$L$7=""),"",IF($B69="","",IF(ISNA(VLOOKUP($B69,'LT02'!$B$11:$Q$80,16,FALSE)),"",VLOOKUP($B69,'LT02'!$B$11:$Q$80,16,FALSE))))</f>
        <v/>
      </c>
      <c r="P69" s="85" t="str">
        <f>IF(OR($P$6="",$P$7=""),"",IF($B69="","",IF(ISNA(VLOOKUP($B69,'LT03'!$B$11:$M$80,12,FALSE)),"",IF(VLOOKUP($B69,'LT03'!$B$11:$M$80,12,FALSE)="","",VLOOKUP($B69,'LT03'!$B$11:$M$80,12,FALSE)))))</f>
        <v/>
      </c>
      <c r="Q69" s="82" t="str">
        <f>IF(OR($P$6="",$P$7=""),"",IF($B69="","",IF(ISNA(VLOOKUP($B69,'LT03'!$B$11:$N$80,13,FALSE)),"",VLOOKUP($B69,'LT03'!$B$11:$N$80,13,FALSE))))</f>
        <v/>
      </c>
      <c r="R69" s="83"/>
      <c r="S69" s="84" t="str">
        <f>IF(OR($P$6="",$P$7=""),"",IF($B69="","",IF(ISNA(VLOOKUP($B69,'LT03'!$B$11:$Q$80,16,FALSE)),"",VLOOKUP($B69,'LT03'!$B$11:$Q$80,16,FALSE))))</f>
        <v/>
      </c>
      <c r="T69" s="85" t="str">
        <f>IF(OR($T$6="",$T$7=""),"",IF($B69="","",IF(ISNA(VLOOKUP($B69,'LT04'!$B$11:$M$80,12,FALSE)),"",IF(VLOOKUP($B69,'LT04'!$B$11:$M$80,12,FALSE)="","",VLOOKUP($B69,'LT04'!$B$11:$M$80,12,FALSE)))))</f>
        <v/>
      </c>
      <c r="U69" s="82" t="str">
        <f>IF(OR($T$6="",$T$7=""),"",IF($B69="","",IF(ISNA(VLOOKUP($B69,'LT04'!$B$11:$N$80,13,FALSE)),"",VLOOKUP($B69,'LT04'!$B$11:$N$80,13,FALSE))))</f>
        <v/>
      </c>
      <c r="V69" s="83"/>
      <c r="W69" s="84" t="str">
        <f>IF(OR($T$6="",$T$7=""),"",IF($B69="","",IF(ISNA(VLOOKUP($B69,'LT04'!$B$11:$Q$80,16,FALSE)),"",VLOOKUP($B69,'LT04'!$B$11:$Q$80,16,FALSE))))</f>
        <v/>
      </c>
      <c r="X69" s="85" t="str">
        <f>IF(OR($X$6="",$X$7=""),"",IF($B69="","",IF(ISNA(VLOOKUP($B69,'LT05'!$B$11:$M$80,12,FALSE)),"",IF(VLOOKUP($B69,'LT05'!$B$11:$M$80,12,FALSE)="","",VLOOKUP($B69,'LT05'!$B$11:$M$80,12,FALSE)))))</f>
        <v/>
      </c>
      <c r="Y69" s="82" t="str">
        <f>IF(OR($X$6="",$X$7=""),"",IF($B69="","",IF(ISNA(VLOOKUP($B69,'LT05'!$B$11:$N$80,13,FALSE)),"",VLOOKUP($B69,'LT05'!$B$11:$N$80,13,FALSE))))</f>
        <v/>
      </c>
      <c r="Z69" s="83"/>
      <c r="AA69" s="84" t="str">
        <f>IF(OR($X$6="",$X$7=""),"",IF($B69="","",IF(ISNA(VLOOKUP($B69,'LT05'!$B$11:$Q$80,16,FALSE)),"",VLOOKUP($B69,'LT05'!$B$11:$Q$80,16,FALSE))))</f>
        <v/>
      </c>
      <c r="AB69" s="85" t="str">
        <f>IF(OR($AB$6="",$AB$7=""),"",IF($B69="","",IF(ISNA(VLOOKUP($B69,'LT06'!$B$11:$M$80,12,FALSE)),"",IF(VLOOKUP($B69,'LT06'!$B$11:$M$80,12,FALSE)="","",VLOOKUP($B69,'LT06'!$B$11:$M$80,12,FALSE)))))</f>
        <v/>
      </c>
      <c r="AC69" s="82" t="str">
        <f>IF(OR($AB$6="",$AB$7=""),"",IF($B69="","",IF(ISNA(VLOOKUP($B69,'LT06'!$B$11:$N$80,13,FALSE)),"",VLOOKUP($B69,'LT06'!$B$11:$N$80,13,FALSE))))</f>
        <v/>
      </c>
      <c r="AD69" s="83"/>
      <c r="AE69" s="84" t="str">
        <f>IF(OR($AB$6="",$AB$7=""),"",IF($B69="","",IF(ISNA(VLOOKUP($B69,'LT06'!$B$11:$Q$80,16,FALSE)),"",VLOOKUP($B69,'LT06'!$B$11:$Q$80,16,FALSE))))</f>
        <v/>
      </c>
      <c r="AF69" s="85" t="str">
        <f>IF(OR($AF$6="",$AF$7=""),"",IF($B69="","",IF(ISNA(VLOOKUP($B69,'LT07'!$B$11:$M$80,12,FALSE)),"",IF(VLOOKUP($B69,'LT07'!$B$11:$M$80,12,FALSE)="","",VLOOKUP($B69,'LT07'!$B$11:$M$80,12,FALSE)))))</f>
        <v/>
      </c>
      <c r="AG69" s="82" t="str">
        <f>IF(OR($AF$6="",$AF$7=""),"",IF($B69="","",IF(ISNA(VLOOKUP($B69,'LT07'!$B$11:$N$80,13,FALSE)),"",VLOOKUP($B69,'LT07'!$B$11:$N$80,13,FALSE))))</f>
        <v/>
      </c>
      <c r="AH69" s="83"/>
      <c r="AI69" s="84" t="str">
        <f>IF(OR($AF$6="",$AF$7=""),"",IF($B69="","",IF(ISNA(VLOOKUP($B69,'LT07'!$B$11:$Q$80,16,FALSE)),"",VLOOKUP($B69,'LT07'!$B$11:$Q$80,16,FALSE))))</f>
        <v/>
      </c>
      <c r="AJ69" s="304"/>
      <c r="AK69" s="82" t="str">
        <f>IF(OR($AJ$6="",$AJ$7=""),"",IF($B69="","",IF(ISNA(VLOOKUP($B69,'DO AN'!$B$11:$L$80,11,FALSE)),"",IF(VLOOKUP($B69,'DO AN'!$B$11:$L$80,11,FALSE)="","",VLOOKUP($B69,'DO AN'!$B$11:$L$80,11,FALSE)))))</f>
        <v/>
      </c>
      <c r="AL69" s="83"/>
      <c r="AM69" s="451"/>
      <c r="AN69" s="83"/>
      <c r="AO69" s="82" t="str">
        <f>IF(OR($AN$6="",$AN$7=""),"",IF($B69="","",IF(ISNA(VLOOKUP($B69,'DO AN 2'!$B$11:$L$80,11,FALSE)),"",IF(VLOOKUP($B69,'DO AN 2'!$B$11:$L$80,11,FALSE)="","",VLOOKUP($B69,'DO AN 2'!$B$11:$L$80,11,FALSE)))))</f>
        <v/>
      </c>
      <c r="AP69" s="83"/>
      <c r="AQ69" s="83"/>
      <c r="AR69" s="454"/>
      <c r="AS69" s="82" t="str">
        <f>IF(OR($AR$6="",$AR$7=""),"",IF($B69="","",IF(ISNA(VLOOKUP($B69,'TH01'!$B$11:$O$80,14,FALSE)),"",VLOOKUP($B69,'TH01'!$B$11:$O$80,14,FALSE))))</f>
        <v/>
      </c>
      <c r="AT69" s="83"/>
      <c r="AU69" s="303"/>
      <c r="AV69" s="304"/>
      <c r="AW69" s="82" t="str">
        <f>IF(OR($AV$6="",$AV$7=""),"",IF($B69="","",IF(ISNA(VLOOKUP($B69,'TH02'!$B$11:$O$80,14,FALSE)),"",VLOOKUP($B69,'TH02'!$B$11:$O$80,14,FALSE))))</f>
        <v/>
      </c>
      <c r="AX69" s="83"/>
      <c r="AY69" s="303"/>
      <c r="AZ69" s="304"/>
      <c r="BA69" s="82" t="str">
        <f>IF(OR($AZ$6="",$AZ$7=""),"",IF($B69="","",IF(ISNA(VLOOKUP($B69,'TH03'!$B$11:$O$80,14,FALSE)),"",VLOOKUP($B69,'TH03'!$B$11:$O$80,14,FALSE))))</f>
        <v/>
      </c>
      <c r="BB69" s="83"/>
      <c r="BC69" s="303"/>
      <c r="BD69" s="86" t="str">
        <f t="shared" si="11"/>
        <v/>
      </c>
      <c r="BE69" s="86" t="str">
        <f t="shared" si="12"/>
        <v/>
      </c>
      <c r="BF69" s="87"/>
      <c r="BG69" s="88" t="str">
        <f t="shared" si="92"/>
        <v/>
      </c>
      <c r="BH69" s="88" t="str">
        <f t="shared" si="93"/>
        <v/>
      </c>
      <c r="BI69" s="87"/>
      <c r="BJ69" s="86" t="str">
        <f t="shared" si="94"/>
        <v/>
      </c>
      <c r="BK69" s="265" t="str">
        <f t="shared" si="95"/>
        <v/>
      </c>
      <c r="BL69" s="88" t="str">
        <f t="shared" si="96"/>
        <v/>
      </c>
      <c r="BM69" s="88" t="str">
        <f t="shared" si="97"/>
        <v/>
      </c>
      <c r="BN69" s="88" t="str">
        <f t="shared" si="98"/>
        <v/>
      </c>
      <c r="BO69" s="86" t="str">
        <f t="shared" si="13"/>
        <v/>
      </c>
      <c r="BP69" s="86" t="str">
        <f t="shared" si="99"/>
        <v/>
      </c>
      <c r="BQ69" s="86" t="str">
        <f t="shared" si="14"/>
        <v/>
      </c>
      <c r="BR69" s="86" t="str">
        <f t="shared" si="100"/>
        <v/>
      </c>
      <c r="BS69" s="87"/>
      <c r="BT69" s="276" t="str">
        <f t="shared" si="15"/>
        <v/>
      </c>
      <c r="BU69" s="238" t="str">
        <f t="shared" si="16"/>
        <v/>
      </c>
      <c r="BV69" s="238" t="str">
        <f t="shared" si="17"/>
        <v/>
      </c>
      <c r="BW69" s="238" t="str">
        <f t="shared" si="18"/>
        <v/>
      </c>
      <c r="BX69" s="238" t="str">
        <f t="shared" si="19"/>
        <v/>
      </c>
      <c r="BY69" s="238" t="str">
        <f t="shared" si="20"/>
        <v/>
      </c>
      <c r="BZ69" s="238" t="str">
        <f t="shared" si="21"/>
        <v/>
      </c>
      <c r="CA69" s="238" t="str">
        <f t="shared" si="22"/>
        <v/>
      </c>
      <c r="CB69" s="238" t="str">
        <f t="shared" si="23"/>
        <v/>
      </c>
      <c r="CC69" s="238" t="str">
        <f t="shared" si="24"/>
        <v/>
      </c>
      <c r="CD69" s="238" t="str">
        <f t="shared" si="25"/>
        <v/>
      </c>
      <c r="CE69" s="238" t="str">
        <f t="shared" si="26"/>
        <v/>
      </c>
      <c r="CF69" s="238" t="str">
        <f t="shared" si="27"/>
        <v/>
      </c>
      <c r="CG69" s="239" t="str">
        <f t="shared" si="28"/>
        <v/>
      </c>
      <c r="CH69" s="238" t="str">
        <f t="shared" si="29"/>
        <v/>
      </c>
      <c r="CI69" s="238" t="str">
        <f t="shared" si="30"/>
        <v/>
      </c>
      <c r="CJ69" s="238" t="str">
        <f t="shared" si="31"/>
        <v/>
      </c>
      <c r="CK69" s="238" t="str">
        <f t="shared" si="32"/>
        <v/>
      </c>
      <c r="CL69" s="238" t="str">
        <f t="shared" si="33"/>
        <v/>
      </c>
      <c r="CM69" s="238" t="str">
        <f t="shared" si="34"/>
        <v/>
      </c>
      <c r="CN69" s="238" t="str">
        <f t="shared" si="35"/>
        <v/>
      </c>
      <c r="CO69" s="238" t="str">
        <f t="shared" si="36"/>
        <v/>
      </c>
      <c r="CP69" s="238" t="str">
        <f t="shared" si="37"/>
        <v/>
      </c>
      <c r="CQ69" s="238" t="str">
        <f t="shared" si="38"/>
        <v/>
      </c>
      <c r="CR69" s="238" t="str">
        <f t="shared" si="39"/>
        <v/>
      </c>
      <c r="CS69" s="238" t="str">
        <f t="shared" si="40"/>
        <v/>
      </c>
      <c r="CT69" s="240" t="str">
        <f t="shared" si="41"/>
        <v/>
      </c>
      <c r="CU69" s="241" t="str">
        <f t="shared" si="42"/>
        <v/>
      </c>
      <c r="CV69" s="241" t="str">
        <f t="shared" si="43"/>
        <v/>
      </c>
      <c r="CW69" s="241" t="str">
        <f t="shared" si="44"/>
        <v/>
      </c>
      <c r="CX69" s="241" t="str">
        <f t="shared" si="45"/>
        <v/>
      </c>
      <c r="CY69" s="241" t="str">
        <f t="shared" si="46"/>
        <v/>
      </c>
      <c r="CZ69" s="241" t="str">
        <f t="shared" si="47"/>
        <v/>
      </c>
      <c r="DA69" s="241" t="str">
        <f t="shared" si="48"/>
        <v/>
      </c>
      <c r="DB69" s="241" t="str">
        <f t="shared" si="49"/>
        <v/>
      </c>
      <c r="DC69" s="241" t="str">
        <f t="shared" si="50"/>
        <v/>
      </c>
      <c r="DD69" s="241" t="str">
        <f t="shared" si="51"/>
        <v/>
      </c>
      <c r="DE69" s="241" t="str">
        <f t="shared" si="52"/>
        <v/>
      </c>
      <c r="DF69" s="241" t="str">
        <f t="shared" si="53"/>
        <v/>
      </c>
      <c r="DG69" s="242" t="str">
        <f t="shared" si="101"/>
        <v/>
      </c>
      <c r="DH69" s="82" t="str">
        <f t="shared" si="54"/>
        <v/>
      </c>
      <c r="DI69" s="82" t="str">
        <f t="shared" si="55"/>
        <v/>
      </c>
      <c r="DJ69" s="82" t="str">
        <f t="shared" si="56"/>
        <v/>
      </c>
      <c r="DK69" s="82" t="str">
        <f t="shared" si="57"/>
        <v/>
      </c>
      <c r="DL69" s="82" t="str">
        <f t="shared" si="58"/>
        <v/>
      </c>
      <c r="DM69" s="82" t="str">
        <f t="shared" si="59"/>
        <v/>
      </c>
      <c r="DN69" s="82" t="str">
        <f t="shared" si="60"/>
        <v/>
      </c>
      <c r="DO69" s="82" t="str">
        <f t="shared" si="61"/>
        <v/>
      </c>
      <c r="DP69" s="82" t="str">
        <f t="shared" si="62"/>
        <v/>
      </c>
      <c r="DQ69" s="82" t="str">
        <f t="shared" si="63"/>
        <v/>
      </c>
      <c r="DR69" s="82" t="str">
        <f t="shared" si="64"/>
        <v/>
      </c>
      <c r="DS69" s="253" t="str">
        <f t="shared" si="65"/>
        <v/>
      </c>
      <c r="DT69" s="250" t="str">
        <f t="shared" si="66"/>
        <v/>
      </c>
      <c r="DU69" s="238" t="str">
        <f t="shared" si="67"/>
        <v/>
      </c>
      <c r="DV69" s="238" t="str">
        <f t="shared" si="68"/>
        <v/>
      </c>
      <c r="DW69" s="238" t="str">
        <f t="shared" si="69"/>
        <v/>
      </c>
      <c r="DX69" s="238" t="str">
        <f t="shared" si="70"/>
        <v/>
      </c>
      <c r="DY69" s="238" t="str">
        <f t="shared" si="71"/>
        <v/>
      </c>
      <c r="DZ69" s="238" t="str">
        <f t="shared" si="72"/>
        <v/>
      </c>
      <c r="EA69" s="238" t="str">
        <f t="shared" si="73"/>
        <v/>
      </c>
      <c r="EB69" s="238" t="str">
        <f t="shared" si="74"/>
        <v/>
      </c>
      <c r="EC69" s="238" t="str">
        <f t="shared" si="75"/>
        <v/>
      </c>
      <c r="ED69" s="238" t="str">
        <f t="shared" si="76"/>
        <v/>
      </c>
      <c r="EE69" s="238" t="str">
        <f t="shared" si="77"/>
        <v/>
      </c>
      <c r="EF69" s="255" t="str">
        <f t="shared" si="78"/>
        <v/>
      </c>
      <c r="EG69" s="257" t="str">
        <f t="shared" si="79"/>
        <v/>
      </c>
      <c r="EH69" s="257" t="str">
        <f t="shared" si="80"/>
        <v/>
      </c>
      <c r="EI69" s="257" t="str">
        <f t="shared" si="81"/>
        <v/>
      </c>
      <c r="EJ69" s="257" t="str">
        <f t="shared" si="82"/>
        <v/>
      </c>
      <c r="EK69" s="257" t="str">
        <f t="shared" si="83"/>
        <v/>
      </c>
      <c r="EL69" s="257" t="str">
        <f t="shared" si="84"/>
        <v/>
      </c>
      <c r="EM69" s="257" t="str">
        <f t="shared" si="85"/>
        <v/>
      </c>
      <c r="EN69" s="257" t="str">
        <f t="shared" si="86"/>
        <v/>
      </c>
      <c r="EO69" s="257" t="str">
        <f t="shared" si="87"/>
        <v/>
      </c>
      <c r="EP69" s="257" t="str">
        <f t="shared" si="88"/>
        <v/>
      </c>
      <c r="EQ69" s="257" t="str">
        <f t="shared" si="89"/>
        <v/>
      </c>
      <c r="ER69" s="257" t="str">
        <f t="shared" si="90"/>
        <v/>
      </c>
      <c r="ES69" s="262" t="str">
        <f t="shared" si="102"/>
        <v/>
      </c>
      <c r="ET69" s="307" t="str">
        <f t="shared" si="91"/>
        <v/>
      </c>
      <c r="EX69" s="89"/>
    </row>
    <row r="70" spans="1:154" s="90" customFormat="1" ht="30" customHeight="1">
      <c r="A70" s="272" t="str">
        <f>IF($B70="","",SUBTOTAL(3,$B$11:B70))</f>
        <v/>
      </c>
      <c r="B70" s="457"/>
      <c r="C70" s="76" t="str">
        <f>IF($B70="","",VLOOKUP($B70,'DS LOP HKI'!$B$2:$D$951,2,0))</f>
        <v/>
      </c>
      <c r="D70" s="77" t="str">
        <f>IF($B70="","",VLOOKUP($B70,'DS LOP HKI'!$B$2:$D$951,3,0))</f>
        <v/>
      </c>
      <c r="E70" s="78"/>
      <c r="F70" s="79"/>
      <c r="G70" s="80"/>
      <c r="H70" s="81" t="str">
        <f>IF(OR($H$6="",$H$7=""),"",IF($B70="","",IF(ISNA(VLOOKUP($B70,'LT01'!$B$11:$M$80,12,FALSE)),"",IF(VLOOKUP($B70,'LT01'!$B$11:$M$80,12,FALSE)="","",VLOOKUP($B70,'LT01'!$B$11:$M$80,12,FALSE)))))</f>
        <v/>
      </c>
      <c r="I70" s="82" t="str">
        <f>IF(OR($H$6="",$H$7=""),"",IF($B70="","",IF(ISNA(VLOOKUP($B70,'LT01'!$B$11:$N$80,13,FALSE)),"",VLOOKUP($B70,'LT01'!$B$11:$N$80,13,FALSE))))</f>
        <v/>
      </c>
      <c r="J70" s="83"/>
      <c r="K70" s="84" t="str">
        <f>IF(OR($H$6="",$H$7=""),"",IF($B70="","",IF(ISNA(VLOOKUP($B70,'LT01'!$B$11:$Q$80,16,FALSE)),"",IF(VLOOKUP($B70,'LT01'!$B$11:$Q$80,16,FALSE)="","",VLOOKUP($B70,'LT01'!$B$11:$Q$80,16,FALSE)))))</f>
        <v/>
      </c>
      <c r="L70" s="85" t="str">
        <f>IF(OR($L$6="",$L$7=""),"",IF($B70="","",IF(ISNA(VLOOKUP($B70,'LT02'!$B$11:$M$80,12,FALSE)),"",IF(VLOOKUP($B70,'LT02'!$B$11:$M$80,12,FALSE)="","",VLOOKUP($B70,'LT02'!$B$11:$M$80,12,FALSE)))))</f>
        <v/>
      </c>
      <c r="M70" s="82" t="str">
        <f>IF(OR($L$6="",$L$7=""),"",IF($B70="","",IF(ISNA(VLOOKUP($B70,'LT02'!$B$11:$N$80,13,FALSE)),"",VLOOKUP($B70,'LT02'!$B$11:$N$80,13,FALSE))))</f>
        <v/>
      </c>
      <c r="N70" s="83"/>
      <c r="O70" s="84" t="str">
        <f>IF(OR($L$6="",$L$7=""),"",IF($B70="","",IF(ISNA(VLOOKUP($B70,'LT02'!$B$11:$Q$80,16,FALSE)),"",VLOOKUP($B70,'LT02'!$B$11:$Q$80,16,FALSE))))</f>
        <v/>
      </c>
      <c r="P70" s="85" t="str">
        <f>IF(OR($P$6="",$P$7=""),"",IF($B70="","",IF(ISNA(VLOOKUP($B70,'LT03'!$B$11:$M$80,12,FALSE)),"",IF(VLOOKUP($B70,'LT03'!$B$11:$M$80,12,FALSE)="","",VLOOKUP($B70,'LT03'!$B$11:$M$80,12,FALSE)))))</f>
        <v/>
      </c>
      <c r="Q70" s="82" t="str">
        <f>IF(OR($P$6="",$P$7=""),"",IF($B70="","",IF(ISNA(VLOOKUP($B70,'LT03'!$B$11:$N$80,13,FALSE)),"",VLOOKUP($B70,'LT03'!$B$11:$N$80,13,FALSE))))</f>
        <v/>
      </c>
      <c r="R70" s="83"/>
      <c r="S70" s="84" t="str">
        <f>IF(OR($P$6="",$P$7=""),"",IF($B70="","",IF(ISNA(VLOOKUP($B70,'LT03'!$B$11:$Q$80,16,FALSE)),"",VLOOKUP($B70,'LT03'!$B$11:$Q$80,16,FALSE))))</f>
        <v/>
      </c>
      <c r="T70" s="85" t="str">
        <f>IF(OR($T$6="",$T$7=""),"",IF($B70="","",IF(ISNA(VLOOKUP($B70,'LT04'!$B$11:$M$80,12,FALSE)),"",IF(VLOOKUP($B70,'LT04'!$B$11:$M$80,12,FALSE)="","",VLOOKUP($B70,'LT04'!$B$11:$M$80,12,FALSE)))))</f>
        <v/>
      </c>
      <c r="U70" s="82" t="str">
        <f>IF(OR($T$6="",$T$7=""),"",IF($B70="","",IF(ISNA(VLOOKUP($B70,'LT04'!$B$11:$N$80,13,FALSE)),"",VLOOKUP($B70,'LT04'!$B$11:$N$80,13,FALSE))))</f>
        <v/>
      </c>
      <c r="V70" s="83"/>
      <c r="W70" s="84" t="str">
        <f>IF(OR($T$6="",$T$7=""),"",IF($B70="","",IF(ISNA(VLOOKUP($B70,'LT04'!$B$11:$Q$80,16,FALSE)),"",VLOOKUP($B70,'LT04'!$B$11:$Q$80,16,FALSE))))</f>
        <v/>
      </c>
      <c r="X70" s="85" t="str">
        <f>IF(OR($X$6="",$X$7=""),"",IF($B70="","",IF(ISNA(VLOOKUP($B70,'LT05'!$B$11:$M$80,12,FALSE)),"",IF(VLOOKUP($B70,'LT05'!$B$11:$M$80,12,FALSE)="","",VLOOKUP($B70,'LT05'!$B$11:$M$80,12,FALSE)))))</f>
        <v/>
      </c>
      <c r="Y70" s="82" t="str">
        <f>IF(OR($X$6="",$X$7=""),"",IF($B70="","",IF(ISNA(VLOOKUP($B70,'LT05'!$B$11:$N$80,13,FALSE)),"",VLOOKUP($B70,'LT05'!$B$11:$N$80,13,FALSE))))</f>
        <v/>
      </c>
      <c r="Z70" s="83"/>
      <c r="AA70" s="84" t="str">
        <f>IF(OR($X$6="",$X$7=""),"",IF($B70="","",IF(ISNA(VLOOKUP($B70,'LT05'!$B$11:$Q$80,16,FALSE)),"",VLOOKUP($B70,'LT05'!$B$11:$Q$80,16,FALSE))))</f>
        <v/>
      </c>
      <c r="AB70" s="85" t="str">
        <f>IF(OR($AB$6="",$AB$7=""),"",IF($B70="","",IF(ISNA(VLOOKUP($B70,'LT06'!$B$11:$M$80,12,FALSE)),"",IF(VLOOKUP($B70,'LT06'!$B$11:$M$80,12,FALSE)="","",VLOOKUP($B70,'LT06'!$B$11:$M$80,12,FALSE)))))</f>
        <v/>
      </c>
      <c r="AC70" s="82" t="str">
        <f>IF(OR($AB$6="",$AB$7=""),"",IF($B70="","",IF(ISNA(VLOOKUP($B70,'LT06'!$B$11:$N$80,13,FALSE)),"",VLOOKUP($B70,'LT06'!$B$11:$N$80,13,FALSE))))</f>
        <v/>
      </c>
      <c r="AD70" s="83"/>
      <c r="AE70" s="84" t="str">
        <f>IF(OR($AB$6="",$AB$7=""),"",IF($B70="","",IF(ISNA(VLOOKUP($B70,'LT06'!$B$11:$Q$80,16,FALSE)),"",VLOOKUP($B70,'LT06'!$B$11:$Q$80,16,FALSE))))</f>
        <v/>
      </c>
      <c r="AF70" s="85" t="str">
        <f>IF(OR($AF$6="",$AF$7=""),"",IF($B70="","",IF(ISNA(VLOOKUP($B70,'LT07'!$B$11:$M$80,12,FALSE)),"",IF(VLOOKUP($B70,'LT07'!$B$11:$M$80,12,FALSE)="","",VLOOKUP($B70,'LT07'!$B$11:$M$80,12,FALSE)))))</f>
        <v/>
      </c>
      <c r="AG70" s="82" t="str">
        <f>IF(OR($AF$6="",$AF$7=""),"",IF($B70="","",IF(ISNA(VLOOKUP($B70,'LT07'!$B$11:$N$80,13,FALSE)),"",VLOOKUP($B70,'LT07'!$B$11:$N$80,13,FALSE))))</f>
        <v/>
      </c>
      <c r="AH70" s="83"/>
      <c r="AI70" s="84" t="str">
        <f>IF(OR($AF$6="",$AF$7=""),"",IF($B70="","",IF(ISNA(VLOOKUP($B70,'LT07'!$B$11:$Q$80,16,FALSE)),"",VLOOKUP($B70,'LT07'!$B$11:$Q$80,16,FALSE))))</f>
        <v/>
      </c>
      <c r="AJ70" s="304"/>
      <c r="AK70" s="82" t="str">
        <f>IF(OR($AJ$6="",$AJ$7=""),"",IF($B70="","",IF(ISNA(VLOOKUP($B70,'DO AN'!$B$11:$L$80,11,FALSE)),"",IF(VLOOKUP($B70,'DO AN'!$B$11:$L$80,11,FALSE)="","",VLOOKUP($B70,'DO AN'!$B$11:$L$80,11,FALSE)))))</f>
        <v/>
      </c>
      <c r="AL70" s="83"/>
      <c r="AM70" s="451"/>
      <c r="AN70" s="83"/>
      <c r="AO70" s="82" t="str">
        <f>IF(OR($AN$6="",$AN$7=""),"",IF($B70="","",IF(ISNA(VLOOKUP($B70,'DO AN 2'!$B$11:$L$80,11,FALSE)),"",IF(VLOOKUP($B70,'DO AN 2'!$B$11:$L$80,11,FALSE)="","",VLOOKUP($B70,'DO AN 2'!$B$11:$L$80,11,FALSE)))))</f>
        <v/>
      </c>
      <c r="AP70" s="83"/>
      <c r="AQ70" s="83"/>
      <c r="AR70" s="454"/>
      <c r="AS70" s="82" t="str">
        <f>IF(OR($AR$6="",$AR$7=""),"",IF($B70="","",IF(ISNA(VLOOKUP($B70,'TH01'!$B$11:$O$80,14,FALSE)),"",VLOOKUP($B70,'TH01'!$B$11:$O$80,14,FALSE))))</f>
        <v/>
      </c>
      <c r="AT70" s="83"/>
      <c r="AU70" s="303"/>
      <c r="AV70" s="304"/>
      <c r="AW70" s="82" t="str">
        <f>IF(OR($AV$6="",$AV$7=""),"",IF($B70="","",IF(ISNA(VLOOKUP($B70,'TH02'!$B$11:$O$80,14,FALSE)),"",VLOOKUP($B70,'TH02'!$B$11:$O$80,14,FALSE))))</f>
        <v/>
      </c>
      <c r="AX70" s="83"/>
      <c r="AY70" s="303"/>
      <c r="AZ70" s="304"/>
      <c r="BA70" s="82" t="str">
        <f>IF(OR($AZ$6="",$AZ$7=""),"",IF($B70="","",IF(ISNA(VLOOKUP($B70,'TH03'!$B$11:$O$80,14,FALSE)),"",VLOOKUP($B70,'TH03'!$B$11:$O$80,14,FALSE))))</f>
        <v/>
      </c>
      <c r="BB70" s="83"/>
      <c r="BC70" s="303"/>
      <c r="BD70" s="86" t="str">
        <f t="shared" si="11"/>
        <v/>
      </c>
      <c r="BE70" s="86" t="str">
        <f t="shared" si="12"/>
        <v/>
      </c>
      <c r="BF70" s="87"/>
      <c r="BG70" s="88" t="str">
        <f t="shared" si="92"/>
        <v/>
      </c>
      <c r="BH70" s="88" t="str">
        <f t="shared" si="93"/>
        <v/>
      </c>
      <c r="BI70" s="87"/>
      <c r="BJ70" s="86" t="str">
        <f t="shared" si="94"/>
        <v/>
      </c>
      <c r="BK70" s="265" t="str">
        <f t="shared" si="95"/>
        <v/>
      </c>
      <c r="BL70" s="88" t="str">
        <f t="shared" si="96"/>
        <v/>
      </c>
      <c r="BM70" s="88" t="str">
        <f t="shared" si="97"/>
        <v/>
      </c>
      <c r="BN70" s="88" t="str">
        <f t="shared" si="98"/>
        <v/>
      </c>
      <c r="BO70" s="86" t="str">
        <f t="shared" si="13"/>
        <v/>
      </c>
      <c r="BP70" s="86" t="str">
        <f t="shared" si="99"/>
        <v/>
      </c>
      <c r="BQ70" s="86" t="str">
        <f t="shared" si="14"/>
        <v/>
      </c>
      <c r="BR70" s="86" t="str">
        <f t="shared" si="100"/>
        <v/>
      </c>
      <c r="BS70" s="87"/>
      <c r="BT70" s="276" t="str">
        <f t="shared" si="15"/>
        <v/>
      </c>
      <c r="BU70" s="238" t="str">
        <f t="shared" si="16"/>
        <v/>
      </c>
      <c r="BV70" s="238" t="str">
        <f t="shared" si="17"/>
        <v/>
      </c>
      <c r="BW70" s="238" t="str">
        <f t="shared" si="18"/>
        <v/>
      </c>
      <c r="BX70" s="238" t="str">
        <f t="shared" si="19"/>
        <v/>
      </c>
      <c r="BY70" s="238" t="str">
        <f t="shared" si="20"/>
        <v/>
      </c>
      <c r="BZ70" s="238" t="str">
        <f t="shared" si="21"/>
        <v/>
      </c>
      <c r="CA70" s="238" t="str">
        <f t="shared" si="22"/>
        <v/>
      </c>
      <c r="CB70" s="238" t="str">
        <f t="shared" si="23"/>
        <v/>
      </c>
      <c r="CC70" s="238" t="str">
        <f t="shared" si="24"/>
        <v/>
      </c>
      <c r="CD70" s="238" t="str">
        <f t="shared" si="25"/>
        <v/>
      </c>
      <c r="CE70" s="238" t="str">
        <f t="shared" si="26"/>
        <v/>
      </c>
      <c r="CF70" s="238" t="str">
        <f t="shared" si="27"/>
        <v/>
      </c>
      <c r="CG70" s="239" t="str">
        <f t="shared" si="28"/>
        <v/>
      </c>
      <c r="CH70" s="238" t="str">
        <f t="shared" si="29"/>
        <v/>
      </c>
      <c r="CI70" s="238" t="str">
        <f t="shared" si="30"/>
        <v/>
      </c>
      <c r="CJ70" s="238" t="str">
        <f t="shared" si="31"/>
        <v/>
      </c>
      <c r="CK70" s="238" t="str">
        <f t="shared" si="32"/>
        <v/>
      </c>
      <c r="CL70" s="238" t="str">
        <f t="shared" si="33"/>
        <v/>
      </c>
      <c r="CM70" s="238" t="str">
        <f t="shared" si="34"/>
        <v/>
      </c>
      <c r="CN70" s="238" t="str">
        <f t="shared" si="35"/>
        <v/>
      </c>
      <c r="CO70" s="238" t="str">
        <f t="shared" si="36"/>
        <v/>
      </c>
      <c r="CP70" s="238" t="str">
        <f t="shared" si="37"/>
        <v/>
      </c>
      <c r="CQ70" s="238" t="str">
        <f t="shared" si="38"/>
        <v/>
      </c>
      <c r="CR70" s="238" t="str">
        <f t="shared" si="39"/>
        <v/>
      </c>
      <c r="CS70" s="238" t="str">
        <f t="shared" si="40"/>
        <v/>
      </c>
      <c r="CT70" s="240" t="str">
        <f t="shared" si="41"/>
        <v/>
      </c>
      <c r="CU70" s="241" t="str">
        <f t="shared" si="42"/>
        <v/>
      </c>
      <c r="CV70" s="241" t="str">
        <f t="shared" si="43"/>
        <v/>
      </c>
      <c r="CW70" s="241" t="str">
        <f t="shared" si="44"/>
        <v/>
      </c>
      <c r="CX70" s="241" t="str">
        <f t="shared" si="45"/>
        <v/>
      </c>
      <c r="CY70" s="241" t="str">
        <f t="shared" si="46"/>
        <v/>
      </c>
      <c r="CZ70" s="241" t="str">
        <f t="shared" si="47"/>
        <v/>
      </c>
      <c r="DA70" s="241" t="str">
        <f t="shared" si="48"/>
        <v/>
      </c>
      <c r="DB70" s="241" t="str">
        <f t="shared" si="49"/>
        <v/>
      </c>
      <c r="DC70" s="241" t="str">
        <f t="shared" si="50"/>
        <v/>
      </c>
      <c r="DD70" s="241" t="str">
        <f t="shared" si="51"/>
        <v/>
      </c>
      <c r="DE70" s="241" t="str">
        <f t="shared" si="52"/>
        <v/>
      </c>
      <c r="DF70" s="241" t="str">
        <f t="shared" si="53"/>
        <v/>
      </c>
      <c r="DG70" s="242" t="str">
        <f t="shared" si="101"/>
        <v/>
      </c>
      <c r="DH70" s="82" t="str">
        <f t="shared" si="54"/>
        <v/>
      </c>
      <c r="DI70" s="82" t="str">
        <f t="shared" si="55"/>
        <v/>
      </c>
      <c r="DJ70" s="82" t="str">
        <f t="shared" si="56"/>
        <v/>
      </c>
      <c r="DK70" s="82" t="str">
        <f t="shared" si="57"/>
        <v/>
      </c>
      <c r="DL70" s="82" t="str">
        <f t="shared" si="58"/>
        <v/>
      </c>
      <c r="DM70" s="82" t="str">
        <f t="shared" si="59"/>
        <v/>
      </c>
      <c r="DN70" s="82" t="str">
        <f t="shared" si="60"/>
        <v/>
      </c>
      <c r="DO70" s="82" t="str">
        <f t="shared" si="61"/>
        <v/>
      </c>
      <c r="DP70" s="82" t="str">
        <f t="shared" si="62"/>
        <v/>
      </c>
      <c r="DQ70" s="82" t="str">
        <f t="shared" si="63"/>
        <v/>
      </c>
      <c r="DR70" s="82" t="str">
        <f t="shared" si="64"/>
        <v/>
      </c>
      <c r="DS70" s="253" t="str">
        <f t="shared" si="65"/>
        <v/>
      </c>
      <c r="DT70" s="250" t="str">
        <f t="shared" si="66"/>
        <v/>
      </c>
      <c r="DU70" s="238" t="str">
        <f t="shared" si="67"/>
        <v/>
      </c>
      <c r="DV70" s="238" t="str">
        <f t="shared" si="68"/>
        <v/>
      </c>
      <c r="DW70" s="238" t="str">
        <f t="shared" si="69"/>
        <v/>
      </c>
      <c r="DX70" s="238" t="str">
        <f t="shared" si="70"/>
        <v/>
      </c>
      <c r="DY70" s="238" t="str">
        <f t="shared" si="71"/>
        <v/>
      </c>
      <c r="DZ70" s="238" t="str">
        <f t="shared" si="72"/>
        <v/>
      </c>
      <c r="EA70" s="238" t="str">
        <f t="shared" si="73"/>
        <v/>
      </c>
      <c r="EB70" s="238" t="str">
        <f t="shared" si="74"/>
        <v/>
      </c>
      <c r="EC70" s="238" t="str">
        <f t="shared" si="75"/>
        <v/>
      </c>
      <c r="ED70" s="238" t="str">
        <f t="shared" si="76"/>
        <v/>
      </c>
      <c r="EE70" s="238" t="str">
        <f t="shared" si="77"/>
        <v/>
      </c>
      <c r="EF70" s="255" t="str">
        <f t="shared" si="78"/>
        <v/>
      </c>
      <c r="EG70" s="257" t="str">
        <f t="shared" si="79"/>
        <v/>
      </c>
      <c r="EH70" s="257" t="str">
        <f t="shared" si="80"/>
        <v/>
      </c>
      <c r="EI70" s="257" t="str">
        <f t="shared" si="81"/>
        <v/>
      </c>
      <c r="EJ70" s="257" t="str">
        <f t="shared" si="82"/>
        <v/>
      </c>
      <c r="EK70" s="257" t="str">
        <f t="shared" si="83"/>
        <v/>
      </c>
      <c r="EL70" s="257" t="str">
        <f t="shared" si="84"/>
        <v/>
      </c>
      <c r="EM70" s="257" t="str">
        <f t="shared" si="85"/>
        <v/>
      </c>
      <c r="EN70" s="257" t="str">
        <f t="shared" si="86"/>
        <v/>
      </c>
      <c r="EO70" s="257" t="str">
        <f t="shared" si="87"/>
        <v/>
      </c>
      <c r="EP70" s="257" t="str">
        <f t="shared" si="88"/>
        <v/>
      </c>
      <c r="EQ70" s="257" t="str">
        <f t="shared" si="89"/>
        <v/>
      </c>
      <c r="ER70" s="257" t="str">
        <f t="shared" si="90"/>
        <v/>
      </c>
      <c r="ES70" s="262" t="str">
        <f t="shared" si="102"/>
        <v/>
      </c>
      <c r="ET70" s="307" t="str">
        <f t="shared" si="91"/>
        <v/>
      </c>
      <c r="EX70" s="89"/>
    </row>
    <row r="71" spans="1:154" s="90" customFormat="1" ht="30" customHeight="1">
      <c r="A71" s="272" t="str">
        <f>IF($B71="","",SUBTOTAL(3,$B$11:B71))</f>
        <v/>
      </c>
      <c r="B71" s="457"/>
      <c r="C71" s="76" t="str">
        <f>IF($B71="","",VLOOKUP($B71,'DS LOP HKI'!$B$2:$D$951,2,0))</f>
        <v/>
      </c>
      <c r="D71" s="77" t="str">
        <f>IF($B71="","",VLOOKUP($B71,'DS LOP HKI'!$B$2:$D$951,3,0))</f>
        <v/>
      </c>
      <c r="E71" s="78"/>
      <c r="F71" s="79"/>
      <c r="G71" s="80"/>
      <c r="H71" s="81" t="str">
        <f>IF(OR($H$6="",$H$7=""),"",IF($B71="","",IF(ISNA(VLOOKUP($B71,'LT01'!$B$11:$M$80,12,FALSE)),"",IF(VLOOKUP($B71,'LT01'!$B$11:$M$80,12,FALSE)="","",VLOOKUP($B71,'LT01'!$B$11:$M$80,12,FALSE)))))</f>
        <v/>
      </c>
      <c r="I71" s="82" t="str">
        <f>IF(OR($H$6="",$H$7=""),"",IF($B71="","",IF(ISNA(VLOOKUP($B71,'LT01'!$B$11:$N$80,13,FALSE)),"",VLOOKUP($B71,'LT01'!$B$11:$N$80,13,FALSE))))</f>
        <v/>
      </c>
      <c r="J71" s="83"/>
      <c r="K71" s="84" t="str">
        <f>IF(OR($H$6="",$H$7=""),"",IF($B71="","",IF(ISNA(VLOOKUP($B71,'LT01'!$B$11:$Q$80,16,FALSE)),"",IF(VLOOKUP($B71,'LT01'!$B$11:$Q$80,16,FALSE)="","",VLOOKUP($B71,'LT01'!$B$11:$Q$80,16,FALSE)))))</f>
        <v/>
      </c>
      <c r="L71" s="85" t="str">
        <f>IF(OR($L$6="",$L$7=""),"",IF($B71="","",IF(ISNA(VLOOKUP($B71,'LT02'!$B$11:$M$80,12,FALSE)),"",IF(VLOOKUP($B71,'LT02'!$B$11:$M$80,12,FALSE)="","",VLOOKUP($B71,'LT02'!$B$11:$M$80,12,FALSE)))))</f>
        <v/>
      </c>
      <c r="M71" s="82" t="str">
        <f>IF(OR($L$6="",$L$7=""),"",IF($B71="","",IF(ISNA(VLOOKUP($B71,'LT02'!$B$11:$N$80,13,FALSE)),"",VLOOKUP($B71,'LT02'!$B$11:$N$80,13,FALSE))))</f>
        <v/>
      </c>
      <c r="N71" s="83"/>
      <c r="O71" s="84" t="str">
        <f>IF(OR($L$6="",$L$7=""),"",IF($B71="","",IF(ISNA(VLOOKUP($B71,'LT02'!$B$11:$Q$80,16,FALSE)),"",VLOOKUP($B71,'LT02'!$B$11:$Q$80,16,FALSE))))</f>
        <v/>
      </c>
      <c r="P71" s="85" t="str">
        <f>IF(OR($P$6="",$P$7=""),"",IF($B71="","",IF(ISNA(VLOOKUP($B71,'LT03'!$B$11:$M$80,12,FALSE)),"",IF(VLOOKUP($B71,'LT03'!$B$11:$M$80,12,FALSE)="","",VLOOKUP($B71,'LT03'!$B$11:$M$80,12,FALSE)))))</f>
        <v/>
      </c>
      <c r="Q71" s="82" t="str">
        <f>IF(OR($P$6="",$P$7=""),"",IF($B71="","",IF(ISNA(VLOOKUP($B71,'LT03'!$B$11:$N$80,13,FALSE)),"",VLOOKUP($B71,'LT03'!$B$11:$N$80,13,FALSE))))</f>
        <v/>
      </c>
      <c r="R71" s="83"/>
      <c r="S71" s="84" t="str">
        <f>IF(OR($P$6="",$P$7=""),"",IF($B71="","",IF(ISNA(VLOOKUP($B71,'LT03'!$B$11:$Q$80,16,FALSE)),"",VLOOKUP($B71,'LT03'!$B$11:$Q$80,16,FALSE))))</f>
        <v/>
      </c>
      <c r="T71" s="85" t="str">
        <f>IF(OR($T$6="",$T$7=""),"",IF($B71="","",IF(ISNA(VLOOKUP($B71,'LT04'!$B$11:$M$80,12,FALSE)),"",IF(VLOOKUP($B71,'LT04'!$B$11:$M$80,12,FALSE)="","",VLOOKUP($B71,'LT04'!$B$11:$M$80,12,FALSE)))))</f>
        <v/>
      </c>
      <c r="U71" s="82" t="str">
        <f>IF(OR($T$6="",$T$7=""),"",IF($B71="","",IF(ISNA(VLOOKUP($B71,'LT04'!$B$11:$N$80,13,FALSE)),"",VLOOKUP($B71,'LT04'!$B$11:$N$80,13,FALSE))))</f>
        <v/>
      </c>
      <c r="V71" s="83"/>
      <c r="W71" s="84" t="str">
        <f>IF(OR($T$6="",$T$7=""),"",IF($B71="","",IF(ISNA(VLOOKUP($B71,'LT04'!$B$11:$Q$80,16,FALSE)),"",VLOOKUP($B71,'LT04'!$B$11:$Q$80,16,FALSE))))</f>
        <v/>
      </c>
      <c r="X71" s="85" t="str">
        <f>IF(OR($X$6="",$X$7=""),"",IF($B71="","",IF(ISNA(VLOOKUP($B71,'LT05'!$B$11:$M$80,12,FALSE)),"",IF(VLOOKUP($B71,'LT05'!$B$11:$M$80,12,FALSE)="","",VLOOKUP($B71,'LT05'!$B$11:$M$80,12,FALSE)))))</f>
        <v/>
      </c>
      <c r="Y71" s="82" t="str">
        <f>IF(OR($X$6="",$X$7=""),"",IF($B71="","",IF(ISNA(VLOOKUP($B71,'LT05'!$B$11:$N$80,13,FALSE)),"",VLOOKUP($B71,'LT05'!$B$11:$N$80,13,FALSE))))</f>
        <v/>
      </c>
      <c r="Z71" s="83"/>
      <c r="AA71" s="84" t="str">
        <f>IF(OR($X$6="",$X$7=""),"",IF($B71="","",IF(ISNA(VLOOKUP($B71,'LT05'!$B$11:$Q$80,16,FALSE)),"",VLOOKUP($B71,'LT05'!$B$11:$Q$80,16,FALSE))))</f>
        <v/>
      </c>
      <c r="AB71" s="85" t="str">
        <f>IF(OR($AB$6="",$AB$7=""),"",IF($B71="","",IF(ISNA(VLOOKUP($B71,'LT06'!$B$11:$M$80,12,FALSE)),"",IF(VLOOKUP($B71,'LT06'!$B$11:$M$80,12,FALSE)="","",VLOOKUP($B71,'LT06'!$B$11:$M$80,12,FALSE)))))</f>
        <v/>
      </c>
      <c r="AC71" s="82" t="str">
        <f>IF(OR($AB$6="",$AB$7=""),"",IF($B71="","",IF(ISNA(VLOOKUP($B71,'LT06'!$B$11:$N$80,13,FALSE)),"",VLOOKUP($B71,'LT06'!$B$11:$N$80,13,FALSE))))</f>
        <v/>
      </c>
      <c r="AD71" s="83"/>
      <c r="AE71" s="84" t="str">
        <f>IF(OR($AB$6="",$AB$7=""),"",IF($B71="","",IF(ISNA(VLOOKUP($B71,'LT06'!$B$11:$Q$80,16,FALSE)),"",VLOOKUP($B71,'LT06'!$B$11:$Q$80,16,FALSE))))</f>
        <v/>
      </c>
      <c r="AF71" s="85" t="str">
        <f>IF(OR($AF$6="",$AF$7=""),"",IF($B71="","",IF(ISNA(VLOOKUP($B71,'LT07'!$B$11:$M$80,12,FALSE)),"",IF(VLOOKUP($B71,'LT07'!$B$11:$M$80,12,FALSE)="","",VLOOKUP($B71,'LT07'!$B$11:$M$80,12,FALSE)))))</f>
        <v/>
      </c>
      <c r="AG71" s="82" t="str">
        <f>IF(OR($AF$6="",$AF$7=""),"",IF($B71="","",IF(ISNA(VLOOKUP($B71,'LT07'!$B$11:$N$80,13,FALSE)),"",VLOOKUP($B71,'LT07'!$B$11:$N$80,13,FALSE))))</f>
        <v/>
      </c>
      <c r="AH71" s="83"/>
      <c r="AI71" s="84" t="str">
        <f>IF(OR($AF$6="",$AF$7=""),"",IF($B71="","",IF(ISNA(VLOOKUP($B71,'LT07'!$B$11:$Q$80,16,FALSE)),"",VLOOKUP($B71,'LT07'!$B$11:$Q$80,16,FALSE))))</f>
        <v/>
      </c>
      <c r="AJ71" s="304"/>
      <c r="AK71" s="82" t="str">
        <f>IF(OR($AJ$6="",$AJ$7=""),"",IF($B71="","",IF(ISNA(VLOOKUP($B71,'DO AN'!$B$11:$L$80,11,FALSE)),"",IF(VLOOKUP($B71,'DO AN'!$B$11:$L$80,11,FALSE)="","",VLOOKUP($B71,'DO AN'!$B$11:$L$80,11,FALSE)))))</f>
        <v/>
      </c>
      <c r="AL71" s="83"/>
      <c r="AM71" s="451"/>
      <c r="AN71" s="83"/>
      <c r="AO71" s="82" t="str">
        <f>IF(OR($AN$6="",$AN$7=""),"",IF($B71="","",IF(ISNA(VLOOKUP($B71,'DO AN 2'!$B$11:$L$80,11,FALSE)),"",IF(VLOOKUP($B71,'DO AN 2'!$B$11:$L$80,11,FALSE)="","",VLOOKUP($B71,'DO AN 2'!$B$11:$L$80,11,FALSE)))))</f>
        <v/>
      </c>
      <c r="AP71" s="83"/>
      <c r="AQ71" s="83"/>
      <c r="AR71" s="454"/>
      <c r="AS71" s="82" t="str">
        <f>IF(OR($AR$6="",$AR$7=""),"",IF($B71="","",IF(ISNA(VLOOKUP($B71,'TH01'!$B$11:$O$80,14,FALSE)),"",VLOOKUP($B71,'TH01'!$B$11:$O$80,14,FALSE))))</f>
        <v/>
      </c>
      <c r="AT71" s="83"/>
      <c r="AU71" s="303"/>
      <c r="AV71" s="304"/>
      <c r="AW71" s="82" t="str">
        <f>IF(OR($AV$6="",$AV$7=""),"",IF($B71="","",IF(ISNA(VLOOKUP($B71,'TH02'!$B$11:$O$80,14,FALSE)),"",VLOOKUP($B71,'TH02'!$B$11:$O$80,14,FALSE))))</f>
        <v/>
      </c>
      <c r="AX71" s="83"/>
      <c r="AY71" s="303"/>
      <c r="AZ71" s="304"/>
      <c r="BA71" s="82" t="str">
        <f>IF(OR($AZ$6="",$AZ$7=""),"",IF($B71="","",IF(ISNA(VLOOKUP($B71,'TH03'!$B$11:$O$80,14,FALSE)),"",VLOOKUP($B71,'TH03'!$B$11:$O$80,14,FALSE))))</f>
        <v/>
      </c>
      <c r="BB71" s="83"/>
      <c r="BC71" s="303"/>
      <c r="BD71" s="86" t="str">
        <f t="shared" si="11"/>
        <v/>
      </c>
      <c r="BE71" s="86" t="str">
        <f t="shared" si="12"/>
        <v/>
      </c>
      <c r="BF71" s="87"/>
      <c r="BG71" s="88" t="str">
        <f t="shared" si="92"/>
        <v/>
      </c>
      <c r="BH71" s="88" t="str">
        <f t="shared" si="93"/>
        <v/>
      </c>
      <c r="BI71" s="87"/>
      <c r="BJ71" s="86" t="str">
        <f t="shared" si="94"/>
        <v/>
      </c>
      <c r="BK71" s="265" t="str">
        <f t="shared" si="95"/>
        <v/>
      </c>
      <c r="BL71" s="88" t="str">
        <f t="shared" si="96"/>
        <v/>
      </c>
      <c r="BM71" s="88" t="str">
        <f t="shared" si="97"/>
        <v/>
      </c>
      <c r="BN71" s="88" t="str">
        <f t="shared" si="98"/>
        <v/>
      </c>
      <c r="BO71" s="86" t="str">
        <f t="shared" si="13"/>
        <v/>
      </c>
      <c r="BP71" s="86" t="str">
        <f t="shared" si="99"/>
        <v/>
      </c>
      <c r="BQ71" s="86" t="str">
        <f t="shared" si="14"/>
        <v/>
      </c>
      <c r="BR71" s="86" t="str">
        <f t="shared" si="100"/>
        <v/>
      </c>
      <c r="BS71" s="87"/>
      <c r="BT71" s="276" t="str">
        <f t="shared" si="15"/>
        <v/>
      </c>
      <c r="BU71" s="238" t="str">
        <f t="shared" si="16"/>
        <v/>
      </c>
      <c r="BV71" s="238" t="str">
        <f t="shared" si="17"/>
        <v/>
      </c>
      <c r="BW71" s="238" t="str">
        <f t="shared" si="18"/>
        <v/>
      </c>
      <c r="BX71" s="238" t="str">
        <f t="shared" si="19"/>
        <v/>
      </c>
      <c r="BY71" s="238" t="str">
        <f t="shared" si="20"/>
        <v/>
      </c>
      <c r="BZ71" s="238" t="str">
        <f t="shared" si="21"/>
        <v/>
      </c>
      <c r="CA71" s="238" t="str">
        <f t="shared" si="22"/>
        <v/>
      </c>
      <c r="CB71" s="238" t="str">
        <f t="shared" si="23"/>
        <v/>
      </c>
      <c r="CC71" s="238" t="str">
        <f t="shared" si="24"/>
        <v/>
      </c>
      <c r="CD71" s="238" t="str">
        <f t="shared" si="25"/>
        <v/>
      </c>
      <c r="CE71" s="238" t="str">
        <f t="shared" si="26"/>
        <v/>
      </c>
      <c r="CF71" s="238" t="str">
        <f t="shared" si="27"/>
        <v/>
      </c>
      <c r="CG71" s="239" t="str">
        <f t="shared" si="28"/>
        <v/>
      </c>
      <c r="CH71" s="238" t="str">
        <f t="shared" si="29"/>
        <v/>
      </c>
      <c r="CI71" s="238" t="str">
        <f t="shared" si="30"/>
        <v/>
      </c>
      <c r="CJ71" s="238" t="str">
        <f t="shared" si="31"/>
        <v/>
      </c>
      <c r="CK71" s="238" t="str">
        <f t="shared" si="32"/>
        <v/>
      </c>
      <c r="CL71" s="238" t="str">
        <f t="shared" si="33"/>
        <v/>
      </c>
      <c r="CM71" s="238" t="str">
        <f t="shared" si="34"/>
        <v/>
      </c>
      <c r="CN71" s="238" t="str">
        <f t="shared" si="35"/>
        <v/>
      </c>
      <c r="CO71" s="238" t="str">
        <f t="shared" si="36"/>
        <v/>
      </c>
      <c r="CP71" s="238" t="str">
        <f t="shared" si="37"/>
        <v/>
      </c>
      <c r="CQ71" s="238" t="str">
        <f t="shared" si="38"/>
        <v/>
      </c>
      <c r="CR71" s="238" t="str">
        <f t="shared" si="39"/>
        <v/>
      </c>
      <c r="CS71" s="238" t="str">
        <f t="shared" si="40"/>
        <v/>
      </c>
      <c r="CT71" s="240" t="str">
        <f t="shared" si="41"/>
        <v/>
      </c>
      <c r="CU71" s="241" t="str">
        <f t="shared" si="42"/>
        <v/>
      </c>
      <c r="CV71" s="241" t="str">
        <f t="shared" si="43"/>
        <v/>
      </c>
      <c r="CW71" s="241" t="str">
        <f t="shared" si="44"/>
        <v/>
      </c>
      <c r="CX71" s="241" t="str">
        <f t="shared" si="45"/>
        <v/>
      </c>
      <c r="CY71" s="241" t="str">
        <f t="shared" si="46"/>
        <v/>
      </c>
      <c r="CZ71" s="241" t="str">
        <f t="shared" si="47"/>
        <v/>
      </c>
      <c r="DA71" s="241" t="str">
        <f t="shared" si="48"/>
        <v/>
      </c>
      <c r="DB71" s="241" t="str">
        <f t="shared" si="49"/>
        <v/>
      </c>
      <c r="DC71" s="241" t="str">
        <f t="shared" si="50"/>
        <v/>
      </c>
      <c r="DD71" s="241" t="str">
        <f t="shared" si="51"/>
        <v/>
      </c>
      <c r="DE71" s="241" t="str">
        <f t="shared" si="52"/>
        <v/>
      </c>
      <c r="DF71" s="241" t="str">
        <f t="shared" si="53"/>
        <v/>
      </c>
      <c r="DG71" s="242" t="str">
        <f t="shared" si="101"/>
        <v/>
      </c>
      <c r="DH71" s="82" t="str">
        <f t="shared" si="54"/>
        <v/>
      </c>
      <c r="DI71" s="82" t="str">
        <f t="shared" si="55"/>
        <v/>
      </c>
      <c r="DJ71" s="82" t="str">
        <f t="shared" si="56"/>
        <v/>
      </c>
      <c r="DK71" s="82" t="str">
        <f t="shared" si="57"/>
        <v/>
      </c>
      <c r="DL71" s="82" t="str">
        <f t="shared" si="58"/>
        <v/>
      </c>
      <c r="DM71" s="82" t="str">
        <f t="shared" si="59"/>
        <v/>
      </c>
      <c r="DN71" s="82" t="str">
        <f t="shared" si="60"/>
        <v/>
      </c>
      <c r="DO71" s="82" t="str">
        <f t="shared" si="61"/>
        <v/>
      </c>
      <c r="DP71" s="82" t="str">
        <f t="shared" si="62"/>
        <v/>
      </c>
      <c r="DQ71" s="82" t="str">
        <f t="shared" si="63"/>
        <v/>
      </c>
      <c r="DR71" s="82" t="str">
        <f t="shared" si="64"/>
        <v/>
      </c>
      <c r="DS71" s="253" t="str">
        <f t="shared" si="65"/>
        <v/>
      </c>
      <c r="DT71" s="250" t="str">
        <f t="shared" si="66"/>
        <v/>
      </c>
      <c r="DU71" s="238" t="str">
        <f t="shared" si="67"/>
        <v/>
      </c>
      <c r="DV71" s="238" t="str">
        <f t="shared" si="68"/>
        <v/>
      </c>
      <c r="DW71" s="238" t="str">
        <f t="shared" si="69"/>
        <v/>
      </c>
      <c r="DX71" s="238" t="str">
        <f t="shared" si="70"/>
        <v/>
      </c>
      <c r="DY71" s="238" t="str">
        <f t="shared" si="71"/>
        <v/>
      </c>
      <c r="DZ71" s="238" t="str">
        <f t="shared" si="72"/>
        <v/>
      </c>
      <c r="EA71" s="238" t="str">
        <f t="shared" si="73"/>
        <v/>
      </c>
      <c r="EB71" s="238" t="str">
        <f t="shared" si="74"/>
        <v/>
      </c>
      <c r="EC71" s="238" t="str">
        <f t="shared" si="75"/>
        <v/>
      </c>
      <c r="ED71" s="238" t="str">
        <f t="shared" si="76"/>
        <v/>
      </c>
      <c r="EE71" s="238" t="str">
        <f t="shared" si="77"/>
        <v/>
      </c>
      <c r="EF71" s="255" t="str">
        <f t="shared" si="78"/>
        <v/>
      </c>
      <c r="EG71" s="257" t="str">
        <f t="shared" si="79"/>
        <v/>
      </c>
      <c r="EH71" s="257" t="str">
        <f t="shared" si="80"/>
        <v/>
      </c>
      <c r="EI71" s="257" t="str">
        <f t="shared" si="81"/>
        <v/>
      </c>
      <c r="EJ71" s="257" t="str">
        <f t="shared" si="82"/>
        <v/>
      </c>
      <c r="EK71" s="257" t="str">
        <f t="shared" si="83"/>
        <v/>
      </c>
      <c r="EL71" s="257" t="str">
        <f t="shared" si="84"/>
        <v/>
      </c>
      <c r="EM71" s="257" t="str">
        <f t="shared" si="85"/>
        <v/>
      </c>
      <c r="EN71" s="257" t="str">
        <f t="shared" si="86"/>
        <v/>
      </c>
      <c r="EO71" s="257" t="str">
        <f t="shared" si="87"/>
        <v/>
      </c>
      <c r="EP71" s="257" t="str">
        <f t="shared" si="88"/>
        <v/>
      </c>
      <c r="EQ71" s="257" t="str">
        <f t="shared" si="89"/>
        <v/>
      </c>
      <c r="ER71" s="257" t="str">
        <f t="shared" si="90"/>
        <v/>
      </c>
      <c r="ES71" s="262" t="str">
        <f t="shared" si="102"/>
        <v/>
      </c>
      <c r="ET71" s="307" t="str">
        <f t="shared" si="91"/>
        <v/>
      </c>
      <c r="EX71" s="89"/>
    </row>
    <row r="72" spans="1:154" s="90" customFormat="1" ht="30" customHeight="1">
      <c r="A72" s="272" t="str">
        <f>IF($B72="","",SUBTOTAL(3,$B$11:B72))</f>
        <v/>
      </c>
      <c r="B72" s="457"/>
      <c r="C72" s="76" t="str">
        <f>IF($B72="","",VLOOKUP($B72,'DS LOP HKI'!$B$2:$D$951,2,0))</f>
        <v/>
      </c>
      <c r="D72" s="77" t="str">
        <f>IF($B72="","",VLOOKUP($B72,'DS LOP HKI'!$B$2:$D$951,3,0))</f>
        <v/>
      </c>
      <c r="E72" s="78"/>
      <c r="F72" s="79"/>
      <c r="G72" s="80"/>
      <c r="H72" s="81" t="str">
        <f>IF(OR($H$6="",$H$7=""),"",IF($B72="","",IF(ISNA(VLOOKUP($B72,'LT01'!$B$11:$M$80,12,FALSE)),"",IF(VLOOKUP($B72,'LT01'!$B$11:$M$80,12,FALSE)="","",VLOOKUP($B72,'LT01'!$B$11:$M$80,12,FALSE)))))</f>
        <v/>
      </c>
      <c r="I72" s="82" t="str">
        <f>IF(OR($H$6="",$H$7=""),"",IF($B72="","",IF(ISNA(VLOOKUP($B72,'LT01'!$B$11:$N$80,13,FALSE)),"",VLOOKUP($B72,'LT01'!$B$11:$N$80,13,FALSE))))</f>
        <v/>
      </c>
      <c r="J72" s="83"/>
      <c r="K72" s="84" t="str">
        <f>IF(OR($H$6="",$H$7=""),"",IF($B72="","",IF(ISNA(VLOOKUP($B72,'LT01'!$B$11:$Q$80,16,FALSE)),"",IF(VLOOKUP($B72,'LT01'!$B$11:$Q$80,16,FALSE)="","",VLOOKUP($B72,'LT01'!$B$11:$Q$80,16,FALSE)))))</f>
        <v/>
      </c>
      <c r="L72" s="85" t="str">
        <f>IF(OR($L$6="",$L$7=""),"",IF($B72="","",IF(ISNA(VLOOKUP($B72,'LT02'!$B$11:$M$80,12,FALSE)),"",IF(VLOOKUP($B72,'LT02'!$B$11:$M$80,12,FALSE)="","",VLOOKUP($B72,'LT02'!$B$11:$M$80,12,FALSE)))))</f>
        <v/>
      </c>
      <c r="M72" s="82" t="str">
        <f>IF(OR($L$6="",$L$7=""),"",IF($B72="","",IF(ISNA(VLOOKUP($B72,'LT02'!$B$11:$N$80,13,FALSE)),"",VLOOKUP($B72,'LT02'!$B$11:$N$80,13,FALSE))))</f>
        <v/>
      </c>
      <c r="N72" s="83"/>
      <c r="O72" s="84" t="str">
        <f>IF(OR($L$6="",$L$7=""),"",IF($B72="","",IF(ISNA(VLOOKUP($B72,'LT02'!$B$11:$Q$80,16,FALSE)),"",VLOOKUP($B72,'LT02'!$B$11:$Q$80,16,FALSE))))</f>
        <v/>
      </c>
      <c r="P72" s="85" t="str">
        <f>IF(OR($P$6="",$P$7=""),"",IF($B72="","",IF(ISNA(VLOOKUP($B72,'LT03'!$B$11:$M$80,12,FALSE)),"",IF(VLOOKUP($B72,'LT03'!$B$11:$M$80,12,FALSE)="","",VLOOKUP($B72,'LT03'!$B$11:$M$80,12,FALSE)))))</f>
        <v/>
      </c>
      <c r="Q72" s="82" t="str">
        <f>IF(OR($P$6="",$P$7=""),"",IF($B72="","",IF(ISNA(VLOOKUP($B72,'LT03'!$B$11:$N$80,13,FALSE)),"",VLOOKUP($B72,'LT03'!$B$11:$N$80,13,FALSE))))</f>
        <v/>
      </c>
      <c r="R72" s="83"/>
      <c r="S72" s="84" t="str">
        <f>IF(OR($P$6="",$P$7=""),"",IF($B72="","",IF(ISNA(VLOOKUP($B72,'LT03'!$B$11:$Q$80,16,FALSE)),"",VLOOKUP($B72,'LT03'!$B$11:$Q$80,16,FALSE))))</f>
        <v/>
      </c>
      <c r="T72" s="85" t="str">
        <f>IF(OR($T$6="",$T$7=""),"",IF($B72="","",IF(ISNA(VLOOKUP($B72,'LT04'!$B$11:$M$80,12,FALSE)),"",IF(VLOOKUP($B72,'LT04'!$B$11:$M$80,12,FALSE)="","",VLOOKUP($B72,'LT04'!$B$11:$M$80,12,FALSE)))))</f>
        <v/>
      </c>
      <c r="U72" s="82" t="str">
        <f>IF(OR($T$6="",$T$7=""),"",IF($B72="","",IF(ISNA(VLOOKUP($B72,'LT04'!$B$11:$N$80,13,FALSE)),"",VLOOKUP($B72,'LT04'!$B$11:$N$80,13,FALSE))))</f>
        <v/>
      </c>
      <c r="V72" s="83"/>
      <c r="W72" s="84" t="str">
        <f>IF(OR($T$6="",$T$7=""),"",IF($B72="","",IF(ISNA(VLOOKUP($B72,'LT04'!$B$11:$Q$80,16,FALSE)),"",VLOOKUP($B72,'LT04'!$B$11:$Q$80,16,FALSE))))</f>
        <v/>
      </c>
      <c r="X72" s="85" t="str">
        <f>IF(OR($X$6="",$X$7=""),"",IF($B72="","",IF(ISNA(VLOOKUP($B72,'LT05'!$B$11:$M$80,12,FALSE)),"",IF(VLOOKUP($B72,'LT05'!$B$11:$M$80,12,FALSE)="","",VLOOKUP($B72,'LT05'!$B$11:$M$80,12,FALSE)))))</f>
        <v/>
      </c>
      <c r="Y72" s="82" t="str">
        <f>IF(OR($X$6="",$X$7=""),"",IF($B72="","",IF(ISNA(VLOOKUP($B72,'LT05'!$B$11:$N$80,13,FALSE)),"",VLOOKUP($B72,'LT05'!$B$11:$N$80,13,FALSE))))</f>
        <v/>
      </c>
      <c r="Z72" s="83"/>
      <c r="AA72" s="84" t="str">
        <f>IF(OR($X$6="",$X$7=""),"",IF($B72="","",IF(ISNA(VLOOKUP($B72,'LT05'!$B$11:$Q$80,16,FALSE)),"",VLOOKUP($B72,'LT05'!$B$11:$Q$80,16,FALSE))))</f>
        <v/>
      </c>
      <c r="AB72" s="85" t="str">
        <f>IF(OR($AB$6="",$AB$7=""),"",IF($B72="","",IF(ISNA(VLOOKUP($B72,'LT06'!$B$11:$M$80,12,FALSE)),"",IF(VLOOKUP($B72,'LT06'!$B$11:$M$80,12,FALSE)="","",VLOOKUP($B72,'LT06'!$B$11:$M$80,12,FALSE)))))</f>
        <v/>
      </c>
      <c r="AC72" s="82" t="str">
        <f>IF(OR($AB$6="",$AB$7=""),"",IF($B72="","",IF(ISNA(VLOOKUP($B72,'LT06'!$B$11:$N$80,13,FALSE)),"",VLOOKUP($B72,'LT06'!$B$11:$N$80,13,FALSE))))</f>
        <v/>
      </c>
      <c r="AD72" s="83"/>
      <c r="AE72" s="84" t="str">
        <f>IF(OR($AB$6="",$AB$7=""),"",IF($B72="","",IF(ISNA(VLOOKUP($B72,'LT06'!$B$11:$Q$80,16,FALSE)),"",VLOOKUP($B72,'LT06'!$B$11:$Q$80,16,FALSE))))</f>
        <v/>
      </c>
      <c r="AF72" s="85" t="str">
        <f>IF(OR($AF$6="",$AF$7=""),"",IF($B72="","",IF(ISNA(VLOOKUP($B72,'LT07'!$B$11:$M$80,12,FALSE)),"",IF(VLOOKUP($B72,'LT07'!$B$11:$M$80,12,FALSE)="","",VLOOKUP($B72,'LT07'!$B$11:$M$80,12,FALSE)))))</f>
        <v/>
      </c>
      <c r="AG72" s="82" t="str">
        <f>IF(OR($AF$6="",$AF$7=""),"",IF($B72="","",IF(ISNA(VLOOKUP($B72,'LT07'!$B$11:$N$80,13,FALSE)),"",VLOOKUP($B72,'LT07'!$B$11:$N$80,13,FALSE))))</f>
        <v/>
      </c>
      <c r="AH72" s="83"/>
      <c r="AI72" s="84" t="str">
        <f>IF(OR($AF$6="",$AF$7=""),"",IF($B72="","",IF(ISNA(VLOOKUP($B72,'LT07'!$B$11:$Q$80,16,FALSE)),"",VLOOKUP($B72,'LT07'!$B$11:$Q$80,16,FALSE))))</f>
        <v/>
      </c>
      <c r="AJ72" s="304"/>
      <c r="AK72" s="82" t="str">
        <f>IF(OR($AJ$6="",$AJ$7=""),"",IF($B72="","",IF(ISNA(VLOOKUP($B72,'DO AN'!$B$11:$L$80,11,FALSE)),"",IF(VLOOKUP($B72,'DO AN'!$B$11:$L$80,11,FALSE)="","",VLOOKUP($B72,'DO AN'!$B$11:$L$80,11,FALSE)))))</f>
        <v/>
      </c>
      <c r="AL72" s="83"/>
      <c r="AM72" s="451"/>
      <c r="AN72" s="83"/>
      <c r="AO72" s="82" t="str">
        <f>IF(OR($AN$6="",$AN$7=""),"",IF($B72="","",IF(ISNA(VLOOKUP($B72,'DO AN 2'!$B$11:$L$80,11,FALSE)),"",IF(VLOOKUP($B72,'DO AN 2'!$B$11:$L$80,11,FALSE)="","",VLOOKUP($B72,'DO AN 2'!$B$11:$L$80,11,FALSE)))))</f>
        <v/>
      </c>
      <c r="AP72" s="83"/>
      <c r="AQ72" s="83"/>
      <c r="AR72" s="454"/>
      <c r="AS72" s="82" t="str">
        <f>IF(OR($AR$6="",$AR$7=""),"",IF($B72="","",IF(ISNA(VLOOKUP($B72,'TH01'!$B$11:$O$80,14,FALSE)),"",VLOOKUP($B72,'TH01'!$B$11:$O$80,14,FALSE))))</f>
        <v/>
      </c>
      <c r="AT72" s="83"/>
      <c r="AU72" s="303"/>
      <c r="AV72" s="304"/>
      <c r="AW72" s="82" t="str">
        <f>IF(OR($AV$6="",$AV$7=""),"",IF($B72="","",IF(ISNA(VLOOKUP($B72,'TH02'!$B$11:$O$80,14,FALSE)),"",VLOOKUP($B72,'TH02'!$B$11:$O$80,14,FALSE))))</f>
        <v/>
      </c>
      <c r="AX72" s="83"/>
      <c r="AY72" s="303"/>
      <c r="AZ72" s="304"/>
      <c r="BA72" s="82" t="str">
        <f>IF(OR($AZ$6="",$AZ$7=""),"",IF($B72="","",IF(ISNA(VLOOKUP($B72,'TH03'!$B$11:$O$80,14,FALSE)),"",VLOOKUP($B72,'TH03'!$B$11:$O$80,14,FALSE))))</f>
        <v/>
      </c>
      <c r="BB72" s="83"/>
      <c r="BC72" s="303"/>
      <c r="BD72" s="86" t="str">
        <f t="shared" si="11"/>
        <v/>
      </c>
      <c r="BE72" s="86" t="str">
        <f t="shared" si="12"/>
        <v/>
      </c>
      <c r="BF72" s="87"/>
      <c r="BG72" s="88" t="str">
        <f t="shared" si="92"/>
        <v/>
      </c>
      <c r="BH72" s="88" t="str">
        <f t="shared" si="93"/>
        <v/>
      </c>
      <c r="BI72" s="87"/>
      <c r="BJ72" s="86" t="str">
        <f t="shared" si="94"/>
        <v/>
      </c>
      <c r="BK72" s="265" t="str">
        <f t="shared" si="95"/>
        <v/>
      </c>
      <c r="BL72" s="88" t="str">
        <f t="shared" si="96"/>
        <v/>
      </c>
      <c r="BM72" s="88" t="str">
        <f t="shared" si="97"/>
        <v/>
      </c>
      <c r="BN72" s="88" t="str">
        <f t="shared" si="98"/>
        <v/>
      </c>
      <c r="BO72" s="86" t="str">
        <f t="shared" si="13"/>
        <v/>
      </c>
      <c r="BP72" s="86" t="str">
        <f t="shared" si="99"/>
        <v/>
      </c>
      <c r="BQ72" s="86" t="str">
        <f t="shared" si="14"/>
        <v/>
      </c>
      <c r="BR72" s="86" t="str">
        <f t="shared" si="100"/>
        <v/>
      </c>
      <c r="BS72" s="87"/>
      <c r="BT72" s="276" t="str">
        <f t="shared" si="15"/>
        <v/>
      </c>
      <c r="BU72" s="238" t="str">
        <f t="shared" si="16"/>
        <v/>
      </c>
      <c r="BV72" s="238" t="str">
        <f t="shared" si="17"/>
        <v/>
      </c>
      <c r="BW72" s="238" t="str">
        <f t="shared" si="18"/>
        <v/>
      </c>
      <c r="BX72" s="238" t="str">
        <f t="shared" si="19"/>
        <v/>
      </c>
      <c r="BY72" s="238" t="str">
        <f t="shared" si="20"/>
        <v/>
      </c>
      <c r="BZ72" s="238" t="str">
        <f t="shared" si="21"/>
        <v/>
      </c>
      <c r="CA72" s="238" t="str">
        <f t="shared" si="22"/>
        <v/>
      </c>
      <c r="CB72" s="238" t="str">
        <f t="shared" si="23"/>
        <v/>
      </c>
      <c r="CC72" s="238" t="str">
        <f t="shared" si="24"/>
        <v/>
      </c>
      <c r="CD72" s="238" t="str">
        <f t="shared" si="25"/>
        <v/>
      </c>
      <c r="CE72" s="238" t="str">
        <f t="shared" si="26"/>
        <v/>
      </c>
      <c r="CF72" s="238" t="str">
        <f t="shared" si="27"/>
        <v/>
      </c>
      <c r="CG72" s="239" t="str">
        <f t="shared" si="28"/>
        <v/>
      </c>
      <c r="CH72" s="238" t="str">
        <f t="shared" si="29"/>
        <v/>
      </c>
      <c r="CI72" s="238" t="str">
        <f t="shared" si="30"/>
        <v/>
      </c>
      <c r="CJ72" s="238" t="str">
        <f t="shared" si="31"/>
        <v/>
      </c>
      <c r="CK72" s="238" t="str">
        <f t="shared" si="32"/>
        <v/>
      </c>
      <c r="CL72" s="238" t="str">
        <f t="shared" si="33"/>
        <v/>
      </c>
      <c r="CM72" s="238" t="str">
        <f t="shared" si="34"/>
        <v/>
      </c>
      <c r="CN72" s="238" t="str">
        <f t="shared" si="35"/>
        <v/>
      </c>
      <c r="CO72" s="238" t="str">
        <f t="shared" si="36"/>
        <v/>
      </c>
      <c r="CP72" s="238" t="str">
        <f t="shared" si="37"/>
        <v/>
      </c>
      <c r="CQ72" s="238" t="str">
        <f t="shared" si="38"/>
        <v/>
      </c>
      <c r="CR72" s="238" t="str">
        <f t="shared" si="39"/>
        <v/>
      </c>
      <c r="CS72" s="238" t="str">
        <f t="shared" si="40"/>
        <v/>
      </c>
      <c r="CT72" s="240" t="str">
        <f t="shared" si="41"/>
        <v/>
      </c>
      <c r="CU72" s="241" t="str">
        <f t="shared" si="42"/>
        <v/>
      </c>
      <c r="CV72" s="241" t="str">
        <f t="shared" si="43"/>
        <v/>
      </c>
      <c r="CW72" s="241" t="str">
        <f t="shared" si="44"/>
        <v/>
      </c>
      <c r="CX72" s="241" t="str">
        <f t="shared" si="45"/>
        <v/>
      </c>
      <c r="CY72" s="241" t="str">
        <f t="shared" si="46"/>
        <v/>
      </c>
      <c r="CZ72" s="241" t="str">
        <f t="shared" si="47"/>
        <v/>
      </c>
      <c r="DA72" s="241" t="str">
        <f t="shared" si="48"/>
        <v/>
      </c>
      <c r="DB72" s="241" t="str">
        <f t="shared" si="49"/>
        <v/>
      </c>
      <c r="DC72" s="241" t="str">
        <f t="shared" si="50"/>
        <v/>
      </c>
      <c r="DD72" s="241" t="str">
        <f t="shared" si="51"/>
        <v/>
      </c>
      <c r="DE72" s="241" t="str">
        <f t="shared" si="52"/>
        <v/>
      </c>
      <c r="DF72" s="241" t="str">
        <f t="shared" si="53"/>
        <v/>
      </c>
      <c r="DG72" s="242" t="str">
        <f t="shared" si="101"/>
        <v/>
      </c>
      <c r="DH72" s="82" t="str">
        <f t="shared" si="54"/>
        <v/>
      </c>
      <c r="DI72" s="82" t="str">
        <f t="shared" si="55"/>
        <v/>
      </c>
      <c r="DJ72" s="82" t="str">
        <f t="shared" si="56"/>
        <v/>
      </c>
      <c r="DK72" s="82" t="str">
        <f t="shared" si="57"/>
        <v/>
      </c>
      <c r="DL72" s="82" t="str">
        <f t="shared" si="58"/>
        <v/>
      </c>
      <c r="DM72" s="82" t="str">
        <f t="shared" si="59"/>
        <v/>
      </c>
      <c r="DN72" s="82" t="str">
        <f t="shared" si="60"/>
        <v/>
      </c>
      <c r="DO72" s="82" t="str">
        <f t="shared" si="61"/>
        <v/>
      </c>
      <c r="DP72" s="82" t="str">
        <f t="shared" si="62"/>
        <v/>
      </c>
      <c r="DQ72" s="82" t="str">
        <f t="shared" si="63"/>
        <v/>
      </c>
      <c r="DR72" s="82" t="str">
        <f t="shared" si="64"/>
        <v/>
      </c>
      <c r="DS72" s="253" t="str">
        <f t="shared" si="65"/>
        <v/>
      </c>
      <c r="DT72" s="250" t="str">
        <f t="shared" si="66"/>
        <v/>
      </c>
      <c r="DU72" s="238" t="str">
        <f t="shared" si="67"/>
        <v/>
      </c>
      <c r="DV72" s="238" t="str">
        <f t="shared" si="68"/>
        <v/>
      </c>
      <c r="DW72" s="238" t="str">
        <f t="shared" si="69"/>
        <v/>
      </c>
      <c r="DX72" s="238" t="str">
        <f t="shared" si="70"/>
        <v/>
      </c>
      <c r="DY72" s="238" t="str">
        <f t="shared" si="71"/>
        <v/>
      </c>
      <c r="DZ72" s="238" t="str">
        <f t="shared" si="72"/>
        <v/>
      </c>
      <c r="EA72" s="238" t="str">
        <f t="shared" si="73"/>
        <v/>
      </c>
      <c r="EB72" s="238" t="str">
        <f t="shared" si="74"/>
        <v/>
      </c>
      <c r="EC72" s="238" t="str">
        <f t="shared" si="75"/>
        <v/>
      </c>
      <c r="ED72" s="238" t="str">
        <f t="shared" si="76"/>
        <v/>
      </c>
      <c r="EE72" s="238" t="str">
        <f t="shared" si="77"/>
        <v/>
      </c>
      <c r="EF72" s="255" t="str">
        <f t="shared" si="78"/>
        <v/>
      </c>
      <c r="EG72" s="257" t="str">
        <f t="shared" si="79"/>
        <v/>
      </c>
      <c r="EH72" s="257" t="str">
        <f t="shared" si="80"/>
        <v/>
      </c>
      <c r="EI72" s="257" t="str">
        <f t="shared" si="81"/>
        <v/>
      </c>
      <c r="EJ72" s="257" t="str">
        <f t="shared" si="82"/>
        <v/>
      </c>
      <c r="EK72" s="257" t="str">
        <f t="shared" si="83"/>
        <v/>
      </c>
      <c r="EL72" s="257" t="str">
        <f t="shared" si="84"/>
        <v/>
      </c>
      <c r="EM72" s="257" t="str">
        <f t="shared" si="85"/>
        <v/>
      </c>
      <c r="EN72" s="257" t="str">
        <f t="shared" si="86"/>
        <v/>
      </c>
      <c r="EO72" s="257" t="str">
        <f t="shared" si="87"/>
        <v/>
      </c>
      <c r="EP72" s="257" t="str">
        <f t="shared" si="88"/>
        <v/>
      </c>
      <c r="EQ72" s="257" t="str">
        <f t="shared" si="89"/>
        <v/>
      </c>
      <c r="ER72" s="257" t="str">
        <f t="shared" si="90"/>
        <v/>
      </c>
      <c r="ES72" s="262" t="str">
        <f t="shared" si="102"/>
        <v/>
      </c>
      <c r="ET72" s="307" t="str">
        <f t="shared" si="91"/>
        <v/>
      </c>
      <c r="EX72" s="89"/>
    </row>
    <row r="73" spans="1:154" s="90" customFormat="1" ht="30" customHeight="1">
      <c r="A73" s="272" t="str">
        <f>IF($B73="","",SUBTOTAL(3,$B$11:B73))</f>
        <v/>
      </c>
      <c r="B73" s="458"/>
      <c r="C73" s="76" t="str">
        <f>IF($B73="","",VLOOKUP($B73,'DS LOP HKI'!$B$2:$D$951,2,0))</f>
        <v/>
      </c>
      <c r="D73" s="77" t="str">
        <f>IF($B73="","",VLOOKUP($B73,'DS LOP HKI'!$B$2:$D$951,3,0))</f>
        <v/>
      </c>
      <c r="E73" s="78"/>
      <c r="F73" s="79"/>
      <c r="G73" s="80"/>
      <c r="H73" s="81" t="str">
        <f>IF(OR($H$6="",$H$7=""),"",IF($B73="","",IF(ISNA(VLOOKUP($B73,'LT01'!$B$11:$M$80,12,FALSE)),"",IF(VLOOKUP($B73,'LT01'!$B$11:$M$80,12,FALSE)="","",VLOOKUP($B73,'LT01'!$B$11:$M$80,12,FALSE)))))</f>
        <v/>
      </c>
      <c r="I73" s="82" t="str">
        <f>IF(OR($H$6="",$H$7=""),"",IF($B73="","",IF(ISNA(VLOOKUP($B73,'LT01'!$B$11:$N$80,13,FALSE)),"",VLOOKUP($B73,'LT01'!$B$11:$N$80,13,FALSE))))</f>
        <v/>
      </c>
      <c r="J73" s="83"/>
      <c r="K73" s="84" t="str">
        <f>IF(OR($H$6="",$H$7=""),"",IF($B73="","",IF(ISNA(VLOOKUP($B73,'LT01'!$B$11:$Q$80,16,FALSE)),"",IF(VLOOKUP($B73,'LT01'!$B$11:$Q$80,16,FALSE)="","",VLOOKUP($B73,'LT01'!$B$11:$Q$80,16,FALSE)))))</f>
        <v/>
      </c>
      <c r="L73" s="85" t="str">
        <f>IF(OR($L$6="",$L$7=""),"",IF($B73="","",IF(ISNA(VLOOKUP($B73,'LT02'!$B$11:$M$80,12,FALSE)),"",IF(VLOOKUP($B73,'LT02'!$B$11:$M$80,12,FALSE)="","",VLOOKUP($B73,'LT02'!$B$11:$M$80,12,FALSE)))))</f>
        <v/>
      </c>
      <c r="M73" s="82" t="str">
        <f>IF(OR($L$6="",$L$7=""),"",IF($B73="","",IF(ISNA(VLOOKUP($B73,'LT02'!$B$11:$N$80,13,FALSE)),"",VLOOKUP($B73,'LT02'!$B$11:$N$80,13,FALSE))))</f>
        <v/>
      </c>
      <c r="N73" s="83"/>
      <c r="O73" s="84" t="str">
        <f>IF(OR($L$6="",$L$7=""),"",IF($B73="","",IF(ISNA(VLOOKUP($B73,'LT02'!$B$11:$Q$80,16,FALSE)),"",VLOOKUP($B73,'LT02'!$B$11:$Q$80,16,FALSE))))</f>
        <v/>
      </c>
      <c r="P73" s="85" t="str">
        <f>IF(OR($P$6="",$P$7=""),"",IF($B73="","",IF(ISNA(VLOOKUP($B73,'LT03'!$B$11:$M$80,12,FALSE)),"",IF(VLOOKUP($B73,'LT03'!$B$11:$M$80,12,FALSE)="","",VLOOKUP($B73,'LT03'!$B$11:$M$80,12,FALSE)))))</f>
        <v/>
      </c>
      <c r="Q73" s="82" t="str">
        <f>IF(OR($P$6="",$P$7=""),"",IF($B73="","",IF(ISNA(VLOOKUP($B73,'LT03'!$B$11:$N$80,13,FALSE)),"",VLOOKUP($B73,'LT03'!$B$11:$N$80,13,FALSE))))</f>
        <v/>
      </c>
      <c r="R73" s="83"/>
      <c r="S73" s="84" t="str">
        <f>IF(OR($P$6="",$P$7=""),"",IF($B73="","",IF(ISNA(VLOOKUP($B73,'LT03'!$B$11:$Q$80,16,FALSE)),"",VLOOKUP($B73,'LT03'!$B$11:$Q$80,16,FALSE))))</f>
        <v/>
      </c>
      <c r="T73" s="85" t="str">
        <f>IF(OR($T$6="",$T$7=""),"",IF($B73="","",IF(ISNA(VLOOKUP($B73,'LT04'!$B$11:$M$80,12,FALSE)),"",IF(VLOOKUP($B73,'LT04'!$B$11:$M$80,12,FALSE)="","",VLOOKUP($B73,'LT04'!$B$11:$M$80,12,FALSE)))))</f>
        <v/>
      </c>
      <c r="U73" s="82" t="str">
        <f>IF(OR($T$6="",$T$7=""),"",IF($B73="","",IF(ISNA(VLOOKUP($B73,'LT04'!$B$11:$N$80,13,FALSE)),"",VLOOKUP($B73,'LT04'!$B$11:$N$80,13,FALSE))))</f>
        <v/>
      </c>
      <c r="V73" s="83"/>
      <c r="W73" s="84" t="str">
        <f>IF(OR($T$6="",$T$7=""),"",IF($B73="","",IF(ISNA(VLOOKUP($B73,'LT04'!$B$11:$Q$80,16,FALSE)),"",VLOOKUP($B73,'LT04'!$B$11:$Q$80,16,FALSE))))</f>
        <v/>
      </c>
      <c r="X73" s="85" t="str">
        <f>IF(OR($X$6="",$X$7=""),"",IF($B73="","",IF(ISNA(VLOOKUP($B73,'LT05'!$B$11:$M$80,12,FALSE)),"",IF(VLOOKUP($B73,'LT05'!$B$11:$M$80,12,FALSE)="","",VLOOKUP($B73,'LT05'!$B$11:$M$80,12,FALSE)))))</f>
        <v/>
      </c>
      <c r="Y73" s="82" t="str">
        <f>IF(OR($X$6="",$X$7=""),"",IF($B73="","",IF(ISNA(VLOOKUP($B73,'LT05'!$B$11:$N$80,13,FALSE)),"",VLOOKUP($B73,'LT05'!$B$11:$N$80,13,FALSE))))</f>
        <v/>
      </c>
      <c r="Z73" s="83"/>
      <c r="AA73" s="84" t="str">
        <f>IF(OR($X$6="",$X$7=""),"",IF($B73="","",IF(ISNA(VLOOKUP($B73,'LT05'!$B$11:$Q$80,16,FALSE)),"",VLOOKUP($B73,'LT05'!$B$11:$Q$80,16,FALSE))))</f>
        <v/>
      </c>
      <c r="AB73" s="85" t="str">
        <f>IF(OR($AB$6="",$AB$7=""),"",IF($B73="","",IF(ISNA(VLOOKUP($B73,'LT06'!$B$11:$M$80,12,FALSE)),"",IF(VLOOKUP($B73,'LT06'!$B$11:$M$80,12,FALSE)="","",VLOOKUP($B73,'LT06'!$B$11:$M$80,12,FALSE)))))</f>
        <v/>
      </c>
      <c r="AC73" s="82" t="str">
        <f>IF(OR($AB$6="",$AB$7=""),"",IF($B73="","",IF(ISNA(VLOOKUP($B73,'LT06'!$B$11:$N$80,13,FALSE)),"",VLOOKUP($B73,'LT06'!$B$11:$N$80,13,FALSE))))</f>
        <v/>
      </c>
      <c r="AD73" s="83"/>
      <c r="AE73" s="84" t="str">
        <f>IF(OR($AB$6="",$AB$7=""),"",IF($B73="","",IF(ISNA(VLOOKUP($B73,'LT06'!$B$11:$Q$80,16,FALSE)),"",VLOOKUP($B73,'LT06'!$B$11:$Q$80,16,FALSE))))</f>
        <v/>
      </c>
      <c r="AF73" s="85" t="str">
        <f>IF(OR($AF$6="",$AF$7=""),"",IF($B73="","",IF(ISNA(VLOOKUP($B73,'LT07'!$B$11:$M$80,12,FALSE)),"",IF(VLOOKUP($B73,'LT07'!$B$11:$M$80,12,FALSE)="","",VLOOKUP($B73,'LT07'!$B$11:$M$80,12,FALSE)))))</f>
        <v/>
      </c>
      <c r="AG73" s="82" t="str">
        <f>IF(OR($AF$6="",$AF$7=""),"",IF($B73="","",IF(ISNA(VLOOKUP($B73,'LT07'!$B$11:$N$80,13,FALSE)),"",VLOOKUP($B73,'LT07'!$B$11:$N$80,13,FALSE))))</f>
        <v/>
      </c>
      <c r="AH73" s="83"/>
      <c r="AI73" s="84" t="str">
        <f>IF(OR($AF$6="",$AF$7=""),"",IF($B73="","",IF(ISNA(VLOOKUP($B73,'LT07'!$B$11:$Q$80,16,FALSE)),"",VLOOKUP($B73,'LT07'!$B$11:$Q$80,16,FALSE))))</f>
        <v/>
      </c>
      <c r="AJ73" s="304"/>
      <c r="AK73" s="82" t="str">
        <f>IF(OR($AJ$6="",$AJ$7=""),"",IF($B73="","",IF(ISNA(VLOOKUP($B73,'DO AN'!$B$11:$L$80,11,FALSE)),"",IF(VLOOKUP($B73,'DO AN'!$B$11:$L$80,11,FALSE)="","",VLOOKUP($B73,'DO AN'!$B$11:$L$80,11,FALSE)))))</f>
        <v/>
      </c>
      <c r="AL73" s="83"/>
      <c r="AM73" s="451"/>
      <c r="AN73" s="83"/>
      <c r="AO73" s="82" t="str">
        <f>IF(OR($AN$6="",$AN$7=""),"",IF($B73="","",IF(ISNA(VLOOKUP($B73,'DO AN 2'!$B$11:$L$80,11,FALSE)),"",IF(VLOOKUP($B73,'DO AN 2'!$B$11:$L$80,11,FALSE)="","",VLOOKUP($B73,'DO AN 2'!$B$11:$L$80,11,FALSE)))))</f>
        <v/>
      </c>
      <c r="AP73" s="83"/>
      <c r="AQ73" s="83"/>
      <c r="AR73" s="454"/>
      <c r="AS73" s="82" t="str">
        <f>IF(OR($AR$6="",$AR$7=""),"",IF($B73="","",IF(ISNA(VLOOKUP($B73,'TH01'!$B$11:$O$80,14,FALSE)),"",VLOOKUP($B73,'TH01'!$B$11:$O$80,14,FALSE))))</f>
        <v/>
      </c>
      <c r="AT73" s="83"/>
      <c r="AU73" s="303"/>
      <c r="AV73" s="304"/>
      <c r="AW73" s="82" t="str">
        <f>IF(OR($AV$6="",$AV$7=""),"",IF($B73="","",IF(ISNA(VLOOKUP($B73,'TH02'!$B$11:$O$80,14,FALSE)),"",VLOOKUP($B73,'TH02'!$B$11:$O$80,14,FALSE))))</f>
        <v/>
      </c>
      <c r="AX73" s="83"/>
      <c r="AY73" s="303"/>
      <c r="AZ73" s="304"/>
      <c r="BA73" s="82" t="str">
        <f>IF(OR($AZ$6="",$AZ$7=""),"",IF($B73="","",IF(ISNA(VLOOKUP($B73,'TH03'!$B$11:$O$80,14,FALSE)),"",VLOOKUP($B73,'TH03'!$B$11:$O$80,14,FALSE))))</f>
        <v/>
      </c>
      <c r="BB73" s="83"/>
      <c r="BC73" s="303"/>
      <c r="BD73" s="86" t="str">
        <f t="shared" si="11"/>
        <v/>
      </c>
      <c r="BE73" s="86" t="str">
        <f t="shared" si="12"/>
        <v/>
      </c>
      <c r="BF73" s="87"/>
      <c r="BG73" s="88" t="str">
        <f t="shared" si="92"/>
        <v/>
      </c>
      <c r="BH73" s="88" t="str">
        <f t="shared" si="93"/>
        <v/>
      </c>
      <c r="BI73" s="87"/>
      <c r="BJ73" s="86" t="str">
        <f t="shared" si="94"/>
        <v/>
      </c>
      <c r="BK73" s="265" t="str">
        <f t="shared" si="95"/>
        <v/>
      </c>
      <c r="BL73" s="88" t="str">
        <f t="shared" si="96"/>
        <v/>
      </c>
      <c r="BM73" s="88" t="str">
        <f t="shared" si="97"/>
        <v/>
      </c>
      <c r="BN73" s="88" t="str">
        <f t="shared" si="98"/>
        <v/>
      </c>
      <c r="BO73" s="86" t="str">
        <f t="shared" si="13"/>
        <v/>
      </c>
      <c r="BP73" s="86" t="str">
        <f t="shared" si="99"/>
        <v/>
      </c>
      <c r="BQ73" s="86" t="str">
        <f t="shared" si="14"/>
        <v/>
      </c>
      <c r="BR73" s="86" t="str">
        <f t="shared" si="100"/>
        <v/>
      </c>
      <c r="BS73" s="87"/>
      <c r="BT73" s="276" t="str">
        <f t="shared" si="15"/>
        <v/>
      </c>
      <c r="BU73" s="238" t="str">
        <f t="shared" si="16"/>
        <v/>
      </c>
      <c r="BV73" s="238" t="str">
        <f t="shared" si="17"/>
        <v/>
      </c>
      <c r="BW73" s="238" t="str">
        <f t="shared" si="18"/>
        <v/>
      </c>
      <c r="BX73" s="238" t="str">
        <f t="shared" si="19"/>
        <v/>
      </c>
      <c r="BY73" s="238" t="str">
        <f t="shared" si="20"/>
        <v/>
      </c>
      <c r="BZ73" s="238" t="str">
        <f t="shared" si="21"/>
        <v/>
      </c>
      <c r="CA73" s="238" t="str">
        <f t="shared" si="22"/>
        <v/>
      </c>
      <c r="CB73" s="238" t="str">
        <f t="shared" si="23"/>
        <v/>
      </c>
      <c r="CC73" s="238" t="str">
        <f t="shared" si="24"/>
        <v/>
      </c>
      <c r="CD73" s="238" t="str">
        <f t="shared" si="25"/>
        <v/>
      </c>
      <c r="CE73" s="238" t="str">
        <f t="shared" si="26"/>
        <v/>
      </c>
      <c r="CF73" s="238" t="str">
        <f t="shared" si="27"/>
        <v/>
      </c>
      <c r="CG73" s="239" t="str">
        <f t="shared" si="28"/>
        <v/>
      </c>
      <c r="CH73" s="238" t="str">
        <f t="shared" si="29"/>
        <v/>
      </c>
      <c r="CI73" s="238" t="str">
        <f t="shared" si="30"/>
        <v/>
      </c>
      <c r="CJ73" s="238" t="str">
        <f t="shared" si="31"/>
        <v/>
      </c>
      <c r="CK73" s="238" t="str">
        <f t="shared" si="32"/>
        <v/>
      </c>
      <c r="CL73" s="238" t="str">
        <f t="shared" si="33"/>
        <v/>
      </c>
      <c r="CM73" s="238" t="str">
        <f t="shared" si="34"/>
        <v/>
      </c>
      <c r="CN73" s="238" t="str">
        <f t="shared" si="35"/>
        <v/>
      </c>
      <c r="CO73" s="238" t="str">
        <f t="shared" si="36"/>
        <v/>
      </c>
      <c r="CP73" s="238" t="str">
        <f t="shared" si="37"/>
        <v/>
      </c>
      <c r="CQ73" s="238" t="str">
        <f t="shared" si="38"/>
        <v/>
      </c>
      <c r="CR73" s="238" t="str">
        <f t="shared" si="39"/>
        <v/>
      </c>
      <c r="CS73" s="238" t="str">
        <f t="shared" si="40"/>
        <v/>
      </c>
      <c r="CT73" s="240" t="str">
        <f t="shared" si="41"/>
        <v/>
      </c>
      <c r="CU73" s="241" t="str">
        <f t="shared" si="42"/>
        <v/>
      </c>
      <c r="CV73" s="241" t="str">
        <f t="shared" si="43"/>
        <v/>
      </c>
      <c r="CW73" s="241" t="str">
        <f t="shared" si="44"/>
        <v/>
      </c>
      <c r="CX73" s="241" t="str">
        <f t="shared" si="45"/>
        <v/>
      </c>
      <c r="CY73" s="241" t="str">
        <f t="shared" si="46"/>
        <v/>
      </c>
      <c r="CZ73" s="241" t="str">
        <f t="shared" si="47"/>
        <v/>
      </c>
      <c r="DA73" s="241" t="str">
        <f t="shared" si="48"/>
        <v/>
      </c>
      <c r="DB73" s="241" t="str">
        <f t="shared" si="49"/>
        <v/>
      </c>
      <c r="DC73" s="241" t="str">
        <f t="shared" si="50"/>
        <v/>
      </c>
      <c r="DD73" s="241" t="str">
        <f t="shared" si="51"/>
        <v/>
      </c>
      <c r="DE73" s="241" t="str">
        <f t="shared" si="52"/>
        <v/>
      </c>
      <c r="DF73" s="241" t="str">
        <f t="shared" si="53"/>
        <v/>
      </c>
      <c r="DG73" s="242" t="str">
        <f t="shared" si="101"/>
        <v/>
      </c>
      <c r="DH73" s="82" t="str">
        <f t="shared" si="54"/>
        <v/>
      </c>
      <c r="DI73" s="82" t="str">
        <f t="shared" si="55"/>
        <v/>
      </c>
      <c r="DJ73" s="82" t="str">
        <f t="shared" si="56"/>
        <v/>
      </c>
      <c r="DK73" s="82" t="str">
        <f t="shared" si="57"/>
        <v/>
      </c>
      <c r="DL73" s="82" t="str">
        <f t="shared" si="58"/>
        <v/>
      </c>
      <c r="DM73" s="82" t="str">
        <f t="shared" si="59"/>
        <v/>
      </c>
      <c r="DN73" s="82" t="str">
        <f t="shared" si="60"/>
        <v/>
      </c>
      <c r="DO73" s="82" t="str">
        <f t="shared" si="61"/>
        <v/>
      </c>
      <c r="DP73" s="82" t="str">
        <f t="shared" si="62"/>
        <v/>
      </c>
      <c r="DQ73" s="82" t="str">
        <f t="shared" si="63"/>
        <v/>
      </c>
      <c r="DR73" s="82" t="str">
        <f t="shared" si="64"/>
        <v/>
      </c>
      <c r="DS73" s="253" t="str">
        <f t="shared" si="65"/>
        <v/>
      </c>
      <c r="DT73" s="250" t="str">
        <f t="shared" si="66"/>
        <v/>
      </c>
      <c r="DU73" s="238" t="str">
        <f t="shared" si="67"/>
        <v/>
      </c>
      <c r="DV73" s="238" t="str">
        <f t="shared" si="68"/>
        <v/>
      </c>
      <c r="DW73" s="238" t="str">
        <f t="shared" si="69"/>
        <v/>
      </c>
      <c r="DX73" s="238" t="str">
        <f t="shared" si="70"/>
        <v/>
      </c>
      <c r="DY73" s="238" t="str">
        <f t="shared" si="71"/>
        <v/>
      </c>
      <c r="DZ73" s="238" t="str">
        <f t="shared" si="72"/>
        <v/>
      </c>
      <c r="EA73" s="238" t="str">
        <f t="shared" si="73"/>
        <v/>
      </c>
      <c r="EB73" s="238" t="str">
        <f t="shared" si="74"/>
        <v/>
      </c>
      <c r="EC73" s="238" t="str">
        <f t="shared" si="75"/>
        <v/>
      </c>
      <c r="ED73" s="238" t="str">
        <f t="shared" si="76"/>
        <v/>
      </c>
      <c r="EE73" s="238" t="str">
        <f t="shared" si="77"/>
        <v/>
      </c>
      <c r="EF73" s="255" t="str">
        <f t="shared" si="78"/>
        <v/>
      </c>
      <c r="EG73" s="257" t="str">
        <f t="shared" si="79"/>
        <v/>
      </c>
      <c r="EH73" s="257" t="str">
        <f t="shared" si="80"/>
        <v/>
      </c>
      <c r="EI73" s="257" t="str">
        <f t="shared" si="81"/>
        <v/>
      </c>
      <c r="EJ73" s="257" t="str">
        <f t="shared" si="82"/>
        <v/>
      </c>
      <c r="EK73" s="257" t="str">
        <f t="shared" si="83"/>
        <v/>
      </c>
      <c r="EL73" s="257" t="str">
        <f t="shared" si="84"/>
        <v/>
      </c>
      <c r="EM73" s="257" t="str">
        <f t="shared" si="85"/>
        <v/>
      </c>
      <c r="EN73" s="257" t="str">
        <f t="shared" si="86"/>
        <v/>
      </c>
      <c r="EO73" s="257" t="str">
        <f t="shared" si="87"/>
        <v/>
      </c>
      <c r="EP73" s="257" t="str">
        <f t="shared" si="88"/>
        <v/>
      </c>
      <c r="EQ73" s="257" t="str">
        <f t="shared" si="89"/>
        <v/>
      </c>
      <c r="ER73" s="257" t="str">
        <f t="shared" si="90"/>
        <v/>
      </c>
      <c r="ES73" s="262" t="str">
        <f t="shared" si="102"/>
        <v/>
      </c>
      <c r="ET73" s="307" t="str">
        <f t="shared" si="91"/>
        <v/>
      </c>
      <c r="EX73" s="89"/>
    </row>
    <row r="74" spans="1:154" s="90" customFormat="1" ht="30" customHeight="1">
      <c r="A74" s="272" t="str">
        <f>IF($B74="","",SUBTOTAL(3,$B$11:B74))</f>
        <v/>
      </c>
      <c r="B74" s="457"/>
      <c r="C74" s="76" t="str">
        <f>IF($B74="","",VLOOKUP($B74,'DS LOP HKI'!$B$2:$D$951,2,0))</f>
        <v/>
      </c>
      <c r="D74" s="77" t="str">
        <f>IF($B74="","",VLOOKUP($B74,'DS LOP HKI'!$B$2:$D$951,3,0))</f>
        <v/>
      </c>
      <c r="E74" s="78"/>
      <c r="F74" s="79"/>
      <c r="G74" s="80"/>
      <c r="H74" s="81" t="str">
        <f>IF(OR($H$6="",$H$7=""),"",IF($B74="","",IF(ISNA(VLOOKUP($B74,'LT01'!$B$11:$M$80,12,FALSE)),"",IF(VLOOKUP($B74,'LT01'!$B$11:$M$80,12,FALSE)="","",VLOOKUP($B74,'LT01'!$B$11:$M$80,12,FALSE)))))</f>
        <v/>
      </c>
      <c r="I74" s="82" t="str">
        <f>IF(OR($H$6="",$H$7=""),"",IF($B74="","",IF(ISNA(VLOOKUP($B74,'LT01'!$B$11:$N$80,13,FALSE)),"",VLOOKUP($B74,'LT01'!$B$11:$N$80,13,FALSE))))</f>
        <v/>
      </c>
      <c r="J74" s="83"/>
      <c r="K74" s="84" t="str">
        <f>IF(OR($H$6="",$H$7=""),"",IF($B74="","",IF(ISNA(VLOOKUP($B74,'LT01'!$B$11:$Q$80,16,FALSE)),"",IF(VLOOKUP($B74,'LT01'!$B$11:$Q$80,16,FALSE)="","",VLOOKUP($B74,'LT01'!$B$11:$Q$80,16,FALSE)))))</f>
        <v/>
      </c>
      <c r="L74" s="85" t="str">
        <f>IF(OR($L$6="",$L$7=""),"",IF($B74="","",IF(ISNA(VLOOKUP($B74,'LT02'!$B$11:$M$80,12,FALSE)),"",IF(VLOOKUP($B74,'LT02'!$B$11:$M$80,12,FALSE)="","",VLOOKUP($B74,'LT02'!$B$11:$M$80,12,FALSE)))))</f>
        <v/>
      </c>
      <c r="M74" s="82" t="str">
        <f>IF(OR($L$6="",$L$7=""),"",IF($B74="","",IF(ISNA(VLOOKUP($B74,'LT02'!$B$11:$N$80,13,FALSE)),"",VLOOKUP($B74,'LT02'!$B$11:$N$80,13,FALSE))))</f>
        <v/>
      </c>
      <c r="N74" s="83"/>
      <c r="O74" s="84" t="str">
        <f>IF(OR($L$6="",$L$7=""),"",IF($B74="","",IF(ISNA(VLOOKUP($B74,'LT02'!$B$11:$Q$80,16,FALSE)),"",VLOOKUP($B74,'LT02'!$B$11:$Q$80,16,FALSE))))</f>
        <v/>
      </c>
      <c r="P74" s="85" t="str">
        <f>IF(OR($P$6="",$P$7=""),"",IF($B74="","",IF(ISNA(VLOOKUP($B74,'LT03'!$B$11:$M$80,12,FALSE)),"",IF(VLOOKUP($B74,'LT03'!$B$11:$M$80,12,FALSE)="","",VLOOKUP($B74,'LT03'!$B$11:$M$80,12,FALSE)))))</f>
        <v/>
      </c>
      <c r="Q74" s="82" t="str">
        <f>IF(OR($P$6="",$P$7=""),"",IF($B74="","",IF(ISNA(VLOOKUP($B74,'LT03'!$B$11:$N$80,13,FALSE)),"",VLOOKUP($B74,'LT03'!$B$11:$N$80,13,FALSE))))</f>
        <v/>
      </c>
      <c r="R74" s="83"/>
      <c r="S74" s="84" t="str">
        <f>IF(OR($P$6="",$P$7=""),"",IF($B74="","",IF(ISNA(VLOOKUP($B74,'LT03'!$B$11:$Q$80,16,FALSE)),"",VLOOKUP($B74,'LT03'!$B$11:$Q$80,16,FALSE))))</f>
        <v/>
      </c>
      <c r="T74" s="85" t="str">
        <f>IF(OR($T$6="",$T$7=""),"",IF($B74="","",IF(ISNA(VLOOKUP($B74,'LT04'!$B$11:$M$80,12,FALSE)),"",IF(VLOOKUP($B74,'LT04'!$B$11:$M$80,12,FALSE)="","",VLOOKUP($B74,'LT04'!$B$11:$M$80,12,FALSE)))))</f>
        <v/>
      </c>
      <c r="U74" s="82" t="str">
        <f>IF(OR($T$6="",$T$7=""),"",IF($B74="","",IF(ISNA(VLOOKUP($B74,'LT04'!$B$11:$N$80,13,FALSE)),"",VLOOKUP($B74,'LT04'!$B$11:$N$80,13,FALSE))))</f>
        <v/>
      </c>
      <c r="V74" s="83"/>
      <c r="W74" s="84" t="str">
        <f>IF(OR($T$6="",$T$7=""),"",IF($B74="","",IF(ISNA(VLOOKUP($B74,'LT04'!$B$11:$Q$80,16,FALSE)),"",VLOOKUP($B74,'LT04'!$B$11:$Q$80,16,FALSE))))</f>
        <v/>
      </c>
      <c r="X74" s="85" t="str">
        <f>IF(OR($X$6="",$X$7=""),"",IF($B74="","",IF(ISNA(VLOOKUP($B74,'LT05'!$B$11:$M$80,12,FALSE)),"",IF(VLOOKUP($B74,'LT05'!$B$11:$M$80,12,FALSE)="","",VLOOKUP($B74,'LT05'!$B$11:$M$80,12,FALSE)))))</f>
        <v/>
      </c>
      <c r="Y74" s="82" t="str">
        <f>IF(OR($X$6="",$X$7=""),"",IF($B74="","",IF(ISNA(VLOOKUP($B74,'LT05'!$B$11:$N$80,13,FALSE)),"",VLOOKUP($B74,'LT05'!$B$11:$N$80,13,FALSE))))</f>
        <v/>
      </c>
      <c r="Z74" s="83"/>
      <c r="AA74" s="84" t="str">
        <f>IF(OR($X$6="",$X$7=""),"",IF($B74="","",IF(ISNA(VLOOKUP($B74,'LT05'!$B$11:$Q$80,16,FALSE)),"",VLOOKUP($B74,'LT05'!$B$11:$Q$80,16,FALSE))))</f>
        <v/>
      </c>
      <c r="AB74" s="85" t="str">
        <f>IF(OR($AB$6="",$AB$7=""),"",IF($B74="","",IF(ISNA(VLOOKUP($B74,'LT06'!$B$11:$M$80,12,FALSE)),"",IF(VLOOKUP($B74,'LT06'!$B$11:$M$80,12,FALSE)="","",VLOOKUP($B74,'LT06'!$B$11:$M$80,12,FALSE)))))</f>
        <v/>
      </c>
      <c r="AC74" s="82" t="str">
        <f>IF(OR($AB$6="",$AB$7=""),"",IF($B74="","",IF(ISNA(VLOOKUP($B74,'LT06'!$B$11:$N$80,13,FALSE)),"",VLOOKUP($B74,'LT06'!$B$11:$N$80,13,FALSE))))</f>
        <v/>
      </c>
      <c r="AD74" s="83"/>
      <c r="AE74" s="84" t="str">
        <f>IF(OR($AB$6="",$AB$7=""),"",IF($B74="","",IF(ISNA(VLOOKUP($B74,'LT06'!$B$11:$Q$80,16,FALSE)),"",VLOOKUP($B74,'LT06'!$B$11:$Q$80,16,FALSE))))</f>
        <v/>
      </c>
      <c r="AF74" s="85" t="str">
        <f>IF(OR($AF$6="",$AF$7=""),"",IF($B74="","",IF(ISNA(VLOOKUP($B74,'LT07'!$B$11:$M$80,12,FALSE)),"",IF(VLOOKUP($B74,'LT07'!$B$11:$M$80,12,FALSE)="","",VLOOKUP($B74,'LT07'!$B$11:$M$80,12,FALSE)))))</f>
        <v/>
      </c>
      <c r="AG74" s="82" t="str">
        <f>IF(OR($AF$6="",$AF$7=""),"",IF($B74="","",IF(ISNA(VLOOKUP($B74,'LT07'!$B$11:$N$80,13,FALSE)),"",VLOOKUP($B74,'LT07'!$B$11:$N$80,13,FALSE))))</f>
        <v/>
      </c>
      <c r="AH74" s="83"/>
      <c r="AI74" s="84" t="str">
        <f>IF(OR($AF$6="",$AF$7=""),"",IF($B74="","",IF(ISNA(VLOOKUP($B74,'LT07'!$B$11:$Q$80,16,FALSE)),"",VLOOKUP($B74,'LT07'!$B$11:$Q$80,16,FALSE))))</f>
        <v/>
      </c>
      <c r="AJ74" s="304"/>
      <c r="AK74" s="82" t="str">
        <f>IF(OR($AJ$6="",$AJ$7=""),"",IF($B74="","",IF(ISNA(VLOOKUP($B74,'DO AN'!$B$11:$L$80,11,FALSE)),"",IF(VLOOKUP($B74,'DO AN'!$B$11:$L$80,11,FALSE)="","",VLOOKUP($B74,'DO AN'!$B$11:$L$80,11,FALSE)))))</f>
        <v/>
      </c>
      <c r="AL74" s="83"/>
      <c r="AM74" s="451"/>
      <c r="AN74" s="83"/>
      <c r="AO74" s="82" t="str">
        <f>IF(OR($AN$6="",$AN$7=""),"",IF($B74="","",IF(ISNA(VLOOKUP($B74,'DO AN 2'!$B$11:$L$80,11,FALSE)),"",IF(VLOOKUP($B74,'DO AN 2'!$B$11:$L$80,11,FALSE)="","",VLOOKUP($B74,'DO AN 2'!$B$11:$L$80,11,FALSE)))))</f>
        <v/>
      </c>
      <c r="AP74" s="83"/>
      <c r="AQ74" s="83"/>
      <c r="AR74" s="454"/>
      <c r="AS74" s="82" t="str">
        <f>IF(OR($AR$6="",$AR$7=""),"",IF($B74="","",IF(ISNA(VLOOKUP($B74,'TH01'!$B$11:$O$80,14,FALSE)),"",VLOOKUP($B74,'TH01'!$B$11:$O$80,14,FALSE))))</f>
        <v/>
      </c>
      <c r="AT74" s="83"/>
      <c r="AU74" s="303"/>
      <c r="AV74" s="304"/>
      <c r="AW74" s="82" t="str">
        <f>IF(OR($AV$6="",$AV$7=""),"",IF($B74="","",IF(ISNA(VLOOKUP($B74,'TH02'!$B$11:$O$80,14,FALSE)),"",VLOOKUP($B74,'TH02'!$B$11:$O$80,14,FALSE))))</f>
        <v/>
      </c>
      <c r="AX74" s="83"/>
      <c r="AY74" s="303"/>
      <c r="AZ74" s="304"/>
      <c r="BA74" s="82" t="str">
        <f>IF(OR($AZ$6="",$AZ$7=""),"",IF($B74="","",IF(ISNA(VLOOKUP($B74,'TH03'!$B$11:$O$80,14,FALSE)),"",VLOOKUP($B74,'TH03'!$B$11:$O$80,14,FALSE))))</f>
        <v/>
      </c>
      <c r="BB74" s="83"/>
      <c r="BC74" s="303"/>
      <c r="BD74" s="86" t="str">
        <f t="shared" si="11"/>
        <v/>
      </c>
      <c r="BE74" s="86" t="str">
        <f t="shared" si="12"/>
        <v/>
      </c>
      <c r="BF74" s="87"/>
      <c r="BG74" s="88" t="str">
        <f t="shared" si="92"/>
        <v/>
      </c>
      <c r="BH74" s="88" t="str">
        <f t="shared" si="93"/>
        <v/>
      </c>
      <c r="BI74" s="87"/>
      <c r="BJ74" s="86" t="str">
        <f t="shared" si="94"/>
        <v/>
      </c>
      <c r="BK74" s="265" t="str">
        <f t="shared" si="95"/>
        <v/>
      </c>
      <c r="BL74" s="88" t="str">
        <f t="shared" si="96"/>
        <v/>
      </c>
      <c r="BM74" s="88" t="str">
        <f t="shared" si="97"/>
        <v/>
      </c>
      <c r="BN74" s="88" t="str">
        <f t="shared" si="98"/>
        <v/>
      </c>
      <c r="BO74" s="86" t="str">
        <f t="shared" si="13"/>
        <v/>
      </c>
      <c r="BP74" s="86" t="str">
        <f t="shared" si="99"/>
        <v/>
      </c>
      <c r="BQ74" s="86" t="str">
        <f t="shared" si="14"/>
        <v/>
      </c>
      <c r="BR74" s="86" t="str">
        <f t="shared" si="100"/>
        <v/>
      </c>
      <c r="BS74" s="87"/>
      <c r="BT74" s="276" t="str">
        <f t="shared" si="15"/>
        <v/>
      </c>
      <c r="BU74" s="238" t="str">
        <f t="shared" si="16"/>
        <v/>
      </c>
      <c r="BV74" s="238" t="str">
        <f t="shared" si="17"/>
        <v/>
      </c>
      <c r="BW74" s="238" t="str">
        <f t="shared" si="18"/>
        <v/>
      </c>
      <c r="BX74" s="238" t="str">
        <f t="shared" si="19"/>
        <v/>
      </c>
      <c r="BY74" s="238" t="str">
        <f t="shared" si="20"/>
        <v/>
      </c>
      <c r="BZ74" s="238" t="str">
        <f t="shared" si="21"/>
        <v/>
      </c>
      <c r="CA74" s="238" t="str">
        <f t="shared" si="22"/>
        <v/>
      </c>
      <c r="CB74" s="238" t="str">
        <f t="shared" si="23"/>
        <v/>
      </c>
      <c r="CC74" s="238" t="str">
        <f t="shared" si="24"/>
        <v/>
      </c>
      <c r="CD74" s="238" t="str">
        <f t="shared" si="25"/>
        <v/>
      </c>
      <c r="CE74" s="238" t="str">
        <f t="shared" si="26"/>
        <v/>
      </c>
      <c r="CF74" s="238" t="str">
        <f t="shared" si="27"/>
        <v/>
      </c>
      <c r="CG74" s="239" t="str">
        <f t="shared" si="28"/>
        <v/>
      </c>
      <c r="CH74" s="238" t="str">
        <f t="shared" si="29"/>
        <v/>
      </c>
      <c r="CI74" s="238" t="str">
        <f t="shared" si="30"/>
        <v/>
      </c>
      <c r="CJ74" s="238" t="str">
        <f t="shared" si="31"/>
        <v/>
      </c>
      <c r="CK74" s="238" t="str">
        <f t="shared" si="32"/>
        <v/>
      </c>
      <c r="CL74" s="238" t="str">
        <f t="shared" si="33"/>
        <v/>
      </c>
      <c r="CM74" s="238" t="str">
        <f t="shared" si="34"/>
        <v/>
      </c>
      <c r="CN74" s="238" t="str">
        <f t="shared" si="35"/>
        <v/>
      </c>
      <c r="CO74" s="238" t="str">
        <f t="shared" si="36"/>
        <v/>
      </c>
      <c r="CP74" s="238" t="str">
        <f t="shared" si="37"/>
        <v/>
      </c>
      <c r="CQ74" s="238" t="str">
        <f t="shared" si="38"/>
        <v/>
      </c>
      <c r="CR74" s="238" t="str">
        <f t="shared" si="39"/>
        <v/>
      </c>
      <c r="CS74" s="238" t="str">
        <f t="shared" si="40"/>
        <v/>
      </c>
      <c r="CT74" s="240" t="str">
        <f t="shared" si="41"/>
        <v/>
      </c>
      <c r="CU74" s="241" t="str">
        <f t="shared" si="42"/>
        <v/>
      </c>
      <c r="CV74" s="241" t="str">
        <f t="shared" si="43"/>
        <v/>
      </c>
      <c r="CW74" s="241" t="str">
        <f t="shared" si="44"/>
        <v/>
      </c>
      <c r="CX74" s="241" t="str">
        <f t="shared" si="45"/>
        <v/>
      </c>
      <c r="CY74" s="241" t="str">
        <f t="shared" si="46"/>
        <v/>
      </c>
      <c r="CZ74" s="241" t="str">
        <f t="shared" si="47"/>
        <v/>
      </c>
      <c r="DA74" s="241" t="str">
        <f t="shared" si="48"/>
        <v/>
      </c>
      <c r="DB74" s="241" t="str">
        <f t="shared" si="49"/>
        <v/>
      </c>
      <c r="DC74" s="241" t="str">
        <f t="shared" si="50"/>
        <v/>
      </c>
      <c r="DD74" s="241" t="str">
        <f t="shared" si="51"/>
        <v/>
      </c>
      <c r="DE74" s="241" t="str">
        <f t="shared" si="52"/>
        <v/>
      </c>
      <c r="DF74" s="241" t="str">
        <f t="shared" si="53"/>
        <v/>
      </c>
      <c r="DG74" s="242" t="str">
        <f t="shared" si="101"/>
        <v/>
      </c>
      <c r="DH74" s="82" t="str">
        <f t="shared" si="54"/>
        <v/>
      </c>
      <c r="DI74" s="82" t="str">
        <f t="shared" si="55"/>
        <v/>
      </c>
      <c r="DJ74" s="82" t="str">
        <f t="shared" si="56"/>
        <v/>
      </c>
      <c r="DK74" s="82" t="str">
        <f t="shared" si="57"/>
        <v/>
      </c>
      <c r="DL74" s="82" t="str">
        <f t="shared" si="58"/>
        <v/>
      </c>
      <c r="DM74" s="82" t="str">
        <f t="shared" si="59"/>
        <v/>
      </c>
      <c r="DN74" s="82" t="str">
        <f t="shared" si="60"/>
        <v/>
      </c>
      <c r="DO74" s="82" t="str">
        <f t="shared" si="61"/>
        <v/>
      </c>
      <c r="DP74" s="82" t="str">
        <f t="shared" si="62"/>
        <v/>
      </c>
      <c r="DQ74" s="82" t="str">
        <f t="shared" si="63"/>
        <v/>
      </c>
      <c r="DR74" s="82" t="str">
        <f t="shared" si="64"/>
        <v/>
      </c>
      <c r="DS74" s="253" t="str">
        <f t="shared" si="65"/>
        <v/>
      </c>
      <c r="DT74" s="250" t="str">
        <f t="shared" si="66"/>
        <v/>
      </c>
      <c r="DU74" s="238" t="str">
        <f t="shared" si="67"/>
        <v/>
      </c>
      <c r="DV74" s="238" t="str">
        <f t="shared" si="68"/>
        <v/>
      </c>
      <c r="DW74" s="238" t="str">
        <f t="shared" si="69"/>
        <v/>
      </c>
      <c r="DX74" s="238" t="str">
        <f t="shared" si="70"/>
        <v/>
      </c>
      <c r="DY74" s="238" t="str">
        <f t="shared" si="71"/>
        <v/>
      </c>
      <c r="DZ74" s="238" t="str">
        <f t="shared" si="72"/>
        <v/>
      </c>
      <c r="EA74" s="238" t="str">
        <f t="shared" si="73"/>
        <v/>
      </c>
      <c r="EB74" s="238" t="str">
        <f t="shared" si="74"/>
        <v/>
      </c>
      <c r="EC74" s="238" t="str">
        <f t="shared" si="75"/>
        <v/>
      </c>
      <c r="ED74" s="238" t="str">
        <f t="shared" si="76"/>
        <v/>
      </c>
      <c r="EE74" s="238" t="str">
        <f t="shared" si="77"/>
        <v/>
      </c>
      <c r="EF74" s="255" t="str">
        <f t="shared" si="78"/>
        <v/>
      </c>
      <c r="EG74" s="257" t="str">
        <f t="shared" si="79"/>
        <v/>
      </c>
      <c r="EH74" s="257" t="str">
        <f t="shared" si="80"/>
        <v/>
      </c>
      <c r="EI74" s="257" t="str">
        <f t="shared" si="81"/>
        <v/>
      </c>
      <c r="EJ74" s="257" t="str">
        <f t="shared" si="82"/>
        <v/>
      </c>
      <c r="EK74" s="257" t="str">
        <f t="shared" si="83"/>
        <v/>
      </c>
      <c r="EL74" s="257" t="str">
        <f t="shared" si="84"/>
        <v/>
      </c>
      <c r="EM74" s="257" t="str">
        <f t="shared" si="85"/>
        <v/>
      </c>
      <c r="EN74" s="257" t="str">
        <f t="shared" si="86"/>
        <v/>
      </c>
      <c r="EO74" s="257" t="str">
        <f t="shared" si="87"/>
        <v/>
      </c>
      <c r="EP74" s="257" t="str">
        <f t="shared" si="88"/>
        <v/>
      </c>
      <c r="EQ74" s="257" t="str">
        <f t="shared" si="89"/>
        <v/>
      </c>
      <c r="ER74" s="257" t="str">
        <f t="shared" si="90"/>
        <v/>
      </c>
      <c r="ES74" s="262" t="str">
        <f t="shared" si="102"/>
        <v/>
      </c>
      <c r="ET74" s="307" t="str">
        <f t="shared" si="91"/>
        <v/>
      </c>
      <c r="EX74" s="89"/>
    </row>
    <row r="75" spans="1:154" s="90" customFormat="1" ht="30" customHeight="1">
      <c r="A75" s="272" t="str">
        <f>IF($B75="","",SUBTOTAL(3,$B$11:B75))</f>
        <v/>
      </c>
      <c r="B75" s="273"/>
      <c r="C75" s="76" t="str">
        <f>IF($B75="","",VLOOKUP($B75,'DS LOP HKI'!$B$2:$D$951,2,0))</f>
        <v/>
      </c>
      <c r="D75" s="77" t="str">
        <f>IF($B75="","",VLOOKUP($B75,'DS LOP HKI'!$B$2:$D$951,3,0))</f>
        <v/>
      </c>
      <c r="E75" s="78"/>
      <c r="F75" s="79"/>
      <c r="G75" s="80"/>
      <c r="H75" s="81" t="str">
        <f>IF(OR($H$6="",$H$7=""),"",IF($B75="","",IF(ISNA(VLOOKUP($B75,'LT01'!$B$11:$M$80,12,FALSE)),"",IF(VLOOKUP($B75,'LT01'!$B$11:$M$80,12,FALSE)="","",VLOOKUP($B75,'LT01'!$B$11:$M$80,12,FALSE)))))</f>
        <v/>
      </c>
      <c r="I75" s="82" t="str">
        <f>IF(OR($H$6="",$H$7=""),"",IF($B75="","",IF(ISNA(VLOOKUP($B75,'LT01'!$B$11:$N$80,13,FALSE)),"",VLOOKUP($B75,'LT01'!$B$11:$N$80,13,FALSE))))</f>
        <v/>
      </c>
      <c r="J75" s="83"/>
      <c r="K75" s="84" t="str">
        <f>IF(OR($H$6="",$H$7=""),"",IF($B75="","",IF(ISNA(VLOOKUP($B75,'LT01'!$B$11:$Q$80,16,FALSE)),"",IF(VLOOKUP($B75,'LT01'!$B$11:$Q$80,16,FALSE)="","",VLOOKUP($B75,'LT01'!$B$11:$Q$80,16,FALSE)))))</f>
        <v/>
      </c>
      <c r="L75" s="85" t="str">
        <f>IF(OR($L$6="",$L$7=""),"",IF($B75="","",IF(ISNA(VLOOKUP($B75,'LT02'!$B$11:$M$80,12,FALSE)),"",IF(VLOOKUP($B75,'LT02'!$B$11:$M$80,12,FALSE)="","",VLOOKUP($B75,'LT02'!$B$11:$M$80,12,FALSE)))))</f>
        <v/>
      </c>
      <c r="M75" s="82" t="str">
        <f>IF(OR($L$6="",$L$7=""),"",IF($B75="","",IF(ISNA(VLOOKUP($B75,'LT02'!$B$11:$N$80,13,FALSE)),"",VLOOKUP($B75,'LT02'!$B$11:$N$80,13,FALSE))))</f>
        <v/>
      </c>
      <c r="N75" s="83"/>
      <c r="O75" s="84" t="str">
        <f>IF(OR($L$6="",$L$7=""),"",IF($B75="","",IF(ISNA(VLOOKUP($B75,'LT02'!$B$11:$Q$80,16,FALSE)),"",VLOOKUP($B75,'LT02'!$B$11:$Q$80,16,FALSE))))</f>
        <v/>
      </c>
      <c r="P75" s="85" t="str">
        <f>IF(OR($P$6="",$P$7=""),"",IF($B75="","",IF(ISNA(VLOOKUP($B75,'LT03'!$B$11:$M$80,12,FALSE)),"",IF(VLOOKUP($B75,'LT03'!$B$11:$M$80,12,FALSE)="","",VLOOKUP($B75,'LT03'!$B$11:$M$80,12,FALSE)))))</f>
        <v/>
      </c>
      <c r="Q75" s="82" t="str">
        <f>IF(OR($P$6="",$P$7=""),"",IF($B75="","",IF(ISNA(VLOOKUP($B75,'LT03'!$B$11:$N$80,13,FALSE)),"",VLOOKUP($B75,'LT03'!$B$11:$N$80,13,FALSE))))</f>
        <v/>
      </c>
      <c r="R75" s="83"/>
      <c r="S75" s="84" t="str">
        <f>IF(OR($P$6="",$P$7=""),"",IF($B75="","",IF(ISNA(VLOOKUP($B75,'LT03'!$B$11:$Q$80,16,FALSE)),"",VLOOKUP($B75,'LT03'!$B$11:$Q$80,16,FALSE))))</f>
        <v/>
      </c>
      <c r="T75" s="85" t="str">
        <f>IF(OR($T$6="",$T$7=""),"",IF($B75="","",IF(ISNA(VLOOKUP($B75,'LT04'!$B$11:$M$80,12,FALSE)),"",IF(VLOOKUP($B75,'LT04'!$B$11:$M$80,12,FALSE)="","",VLOOKUP($B75,'LT04'!$B$11:$M$80,12,FALSE)))))</f>
        <v/>
      </c>
      <c r="U75" s="82" t="str">
        <f>IF(OR($T$6="",$T$7=""),"",IF($B75="","",IF(ISNA(VLOOKUP($B75,'LT04'!$B$11:$N$80,13,FALSE)),"",VLOOKUP($B75,'LT04'!$B$11:$N$80,13,FALSE))))</f>
        <v/>
      </c>
      <c r="V75" s="83"/>
      <c r="W75" s="84" t="str">
        <f>IF(OR($T$6="",$T$7=""),"",IF($B75="","",IF(ISNA(VLOOKUP($B75,'LT04'!$B$11:$Q$80,16,FALSE)),"",VLOOKUP($B75,'LT04'!$B$11:$Q$80,16,FALSE))))</f>
        <v/>
      </c>
      <c r="X75" s="85" t="str">
        <f>IF(OR($X$6="",$X$7=""),"",IF($B75="","",IF(ISNA(VLOOKUP($B75,'LT05'!$B$11:$M$80,12,FALSE)),"",IF(VLOOKUP($B75,'LT05'!$B$11:$M$80,12,FALSE)="","",VLOOKUP($B75,'LT05'!$B$11:$M$80,12,FALSE)))))</f>
        <v/>
      </c>
      <c r="Y75" s="82" t="str">
        <f>IF(OR($X$6="",$X$7=""),"",IF($B75="","",IF(ISNA(VLOOKUP($B75,'LT05'!$B$11:$N$80,13,FALSE)),"",VLOOKUP($B75,'LT05'!$B$11:$N$80,13,FALSE))))</f>
        <v/>
      </c>
      <c r="Z75" s="83"/>
      <c r="AA75" s="84" t="str">
        <f>IF(OR($X$6="",$X$7=""),"",IF($B75="","",IF(ISNA(VLOOKUP($B75,'LT05'!$B$11:$Q$80,16,FALSE)),"",VLOOKUP($B75,'LT05'!$B$11:$Q$80,16,FALSE))))</f>
        <v/>
      </c>
      <c r="AB75" s="85" t="str">
        <f>IF(OR($AB$6="",$AB$7=""),"",IF($B75="","",IF(ISNA(VLOOKUP($B75,'LT06'!$B$11:$M$80,12,FALSE)),"",IF(VLOOKUP($B75,'LT06'!$B$11:$M$80,12,FALSE)="","",VLOOKUP($B75,'LT06'!$B$11:$M$80,12,FALSE)))))</f>
        <v/>
      </c>
      <c r="AC75" s="82" t="str">
        <f>IF(OR($AB$6="",$AB$7=""),"",IF($B75="","",IF(ISNA(VLOOKUP($B75,'LT06'!$B$11:$N$80,13,FALSE)),"",VLOOKUP($B75,'LT06'!$B$11:$N$80,13,FALSE))))</f>
        <v/>
      </c>
      <c r="AD75" s="83"/>
      <c r="AE75" s="84" t="str">
        <f>IF(OR($AB$6="",$AB$7=""),"",IF($B75="","",IF(ISNA(VLOOKUP($B75,'LT06'!$B$11:$Q$80,16,FALSE)),"",VLOOKUP($B75,'LT06'!$B$11:$Q$80,16,FALSE))))</f>
        <v/>
      </c>
      <c r="AF75" s="85" t="str">
        <f>IF(OR($AF$6="",$AF$7=""),"",IF($B75="","",IF(ISNA(VLOOKUP($B75,'LT07'!$B$11:$M$80,12,FALSE)),"",IF(VLOOKUP($B75,'LT07'!$B$11:$M$80,12,FALSE)="","",VLOOKUP($B75,'LT07'!$B$11:$M$80,12,FALSE)))))</f>
        <v/>
      </c>
      <c r="AG75" s="82" t="str">
        <f>IF(OR($AF$6="",$AF$7=""),"",IF($B75="","",IF(ISNA(VLOOKUP($B75,'LT07'!$B$11:$N$80,13,FALSE)),"",VLOOKUP($B75,'LT07'!$B$11:$N$80,13,FALSE))))</f>
        <v/>
      </c>
      <c r="AH75" s="83"/>
      <c r="AI75" s="84" t="str">
        <f>IF(OR($AF$6="",$AF$7=""),"",IF($B75="","",IF(ISNA(VLOOKUP($B75,'LT07'!$B$11:$Q$80,16,FALSE)),"",VLOOKUP($B75,'LT07'!$B$11:$Q$80,16,FALSE))))</f>
        <v/>
      </c>
      <c r="AJ75" s="304"/>
      <c r="AK75" s="82" t="str">
        <f>IF(OR($AJ$6="",$AJ$7=""),"",IF($B75="","",IF(ISNA(VLOOKUP($B75,'DO AN'!$B$11:$L$80,11,FALSE)),"",IF(VLOOKUP($B75,'DO AN'!$B$11:$L$80,11,FALSE)="","",VLOOKUP($B75,'DO AN'!$B$11:$L$80,11,FALSE)))))</f>
        <v/>
      </c>
      <c r="AL75" s="83"/>
      <c r="AM75" s="451"/>
      <c r="AN75" s="83"/>
      <c r="AO75" s="82" t="str">
        <f>IF(OR($AN$6="",$AN$7=""),"",IF($B75="","",IF(ISNA(VLOOKUP($B75,'DO AN 2'!$B$11:$L$80,11,FALSE)),"",IF(VLOOKUP($B75,'DO AN 2'!$B$11:$L$80,11,FALSE)="","",VLOOKUP($B75,'DO AN 2'!$B$11:$L$80,11,FALSE)))))</f>
        <v/>
      </c>
      <c r="AP75" s="83"/>
      <c r="AQ75" s="83"/>
      <c r="AR75" s="454"/>
      <c r="AS75" s="82" t="str">
        <f>IF(OR($AR$6="",$AR$7=""),"",IF($B75="","",IF(ISNA(VLOOKUP($B75,'TH01'!$B$11:$O$80,14,FALSE)),"",VLOOKUP($B75,'TH01'!$B$11:$O$80,14,FALSE))))</f>
        <v/>
      </c>
      <c r="AT75" s="83"/>
      <c r="AU75" s="303"/>
      <c r="AV75" s="304"/>
      <c r="AW75" s="82" t="str">
        <f>IF(OR($AV$6="",$AV$7=""),"",IF($B75="","",IF(ISNA(VLOOKUP($B75,'TH02'!$B$11:$O$80,14,FALSE)),"",VLOOKUP($B75,'TH02'!$B$11:$O$80,14,FALSE))))</f>
        <v/>
      </c>
      <c r="AX75" s="83"/>
      <c r="AY75" s="303"/>
      <c r="AZ75" s="304"/>
      <c r="BA75" s="82" t="str">
        <f>IF(OR($AZ$6="",$AZ$7=""),"",IF($B75="","",IF(ISNA(VLOOKUP($B75,'TH03'!$B$11:$O$80,14,FALSE)),"",VLOOKUP($B75,'TH03'!$B$11:$O$80,14,FALSE))))</f>
        <v/>
      </c>
      <c r="BB75" s="83"/>
      <c r="BC75" s="303"/>
      <c r="BD75" s="86" t="str">
        <f t="shared" si="11"/>
        <v/>
      </c>
      <c r="BE75" s="86" t="str">
        <f t="shared" si="12"/>
        <v/>
      </c>
      <c r="BF75" s="87"/>
      <c r="BG75" s="88" t="str">
        <f t="shared" ref="BG75:BG80" si="103">IF($BD75="","",IF($B75="","",IF($BD75&lt;4,"Kém",IF($BD75&lt;5.5,"TB Yếu",IF($BD75&lt;7,"T.Bình",IF($BD75&lt;8,"Khá",IF($BD75&lt;9,"Giỏi","SX")))))))</f>
        <v/>
      </c>
      <c r="BH75" s="88" t="str">
        <f t="shared" ref="BH75:BH80" si="104">IF($BE75="","",IF($B75="","",IF($BE75&lt;4,"Kém",IF($BE75&lt;5.5,"TB Yếu",IF($BE75&lt;7,"T.Bình",IF($BE75&lt;8,"Khá",IF($BE75&lt;9,"Giỏi","SX")))))))</f>
        <v/>
      </c>
      <c r="BI75" s="87"/>
      <c r="BJ75" s="86" t="str">
        <f t="shared" ref="BJ75:BJ80" si="105">IF($BD75&gt;=4,"",IF(AND($BD75&lt;4,$BE75="",COUNT($DH75:$DS75)=0),"Cảnh Báo",IF($BE75&lt;4,"Cảnh Báo","")))</f>
        <v/>
      </c>
      <c r="BK75" s="265" t="str">
        <f t="shared" ref="BK75:BK80" si="106">IF($B75="","",IF(COUNT($CH75:$CS75)=0,"",SUMIF($CH75:$CS75,"&gt;=4",$CH$7:$CS$7)))</f>
        <v/>
      </c>
      <c r="BL75" s="88" t="str">
        <f t="shared" ref="BL75:BL80" si="107">IF($B75="","",IF(COUNT($CH75:$CS75=0),"",SUMIF($CH75:$CS75,"&lt;4",$CH$7:$CS$7)))</f>
        <v/>
      </c>
      <c r="BM75" s="88" t="str">
        <f t="shared" ref="BM75:BM80" si="108">IF(AND($BE75="",$B75=""),"",SUMIF($DT75:$EE75,"&gt;=4",$DT$7:$EE$7))</f>
        <v/>
      </c>
      <c r="BN75" s="88" t="str">
        <f t="shared" ref="BN75:BN80" si="109">IF(AND($BE75="",$B75=""),"",SUMIF($DT75:$EE75,"&lt;4",$DT$7:$EE$7))</f>
        <v/>
      </c>
      <c r="BO75" s="86" t="str">
        <f t="shared" si="13"/>
        <v/>
      </c>
      <c r="BP75" s="86" t="str">
        <f t="shared" ref="BP75:BP80" si="110">IF($B75="","",IF($BO75&gt;=5.5,"BT","Yếu"))</f>
        <v/>
      </c>
      <c r="BQ75" s="86" t="str">
        <f t="shared" si="14"/>
        <v/>
      </c>
      <c r="BR75" s="86" t="str">
        <f t="shared" ref="BR75:BR80" si="111">IF($B75="","",IF($BQ75&gt;=5.5,"BT","Yếu"))</f>
        <v/>
      </c>
      <c r="BS75" s="87"/>
      <c r="BT75" s="276" t="str">
        <f t="shared" si="15"/>
        <v/>
      </c>
      <c r="BU75" s="238" t="str">
        <f t="shared" si="16"/>
        <v/>
      </c>
      <c r="BV75" s="238" t="str">
        <f t="shared" si="17"/>
        <v/>
      </c>
      <c r="BW75" s="238" t="str">
        <f t="shared" si="18"/>
        <v/>
      </c>
      <c r="BX75" s="238" t="str">
        <f t="shared" si="19"/>
        <v/>
      </c>
      <c r="BY75" s="238" t="str">
        <f t="shared" si="20"/>
        <v/>
      </c>
      <c r="BZ75" s="238" t="str">
        <f t="shared" si="21"/>
        <v/>
      </c>
      <c r="CA75" s="238" t="str">
        <f t="shared" si="22"/>
        <v/>
      </c>
      <c r="CB75" s="238" t="str">
        <f t="shared" si="23"/>
        <v/>
      </c>
      <c r="CC75" s="238" t="str">
        <f t="shared" si="24"/>
        <v/>
      </c>
      <c r="CD75" s="238" t="str">
        <f t="shared" si="25"/>
        <v/>
      </c>
      <c r="CE75" s="238" t="str">
        <f t="shared" si="26"/>
        <v/>
      </c>
      <c r="CF75" s="238" t="str">
        <f t="shared" si="27"/>
        <v/>
      </c>
      <c r="CG75" s="239" t="str">
        <f t="shared" si="28"/>
        <v/>
      </c>
      <c r="CH75" s="238" t="str">
        <f t="shared" si="29"/>
        <v/>
      </c>
      <c r="CI75" s="238" t="str">
        <f t="shared" si="30"/>
        <v/>
      </c>
      <c r="CJ75" s="238" t="str">
        <f t="shared" si="31"/>
        <v/>
      </c>
      <c r="CK75" s="238" t="str">
        <f t="shared" si="32"/>
        <v/>
      </c>
      <c r="CL75" s="238" t="str">
        <f t="shared" si="33"/>
        <v/>
      </c>
      <c r="CM75" s="238" t="str">
        <f t="shared" si="34"/>
        <v/>
      </c>
      <c r="CN75" s="238" t="str">
        <f t="shared" si="35"/>
        <v/>
      </c>
      <c r="CO75" s="238" t="str">
        <f t="shared" si="36"/>
        <v/>
      </c>
      <c r="CP75" s="238" t="str">
        <f t="shared" si="37"/>
        <v/>
      </c>
      <c r="CQ75" s="238" t="str">
        <f t="shared" si="38"/>
        <v/>
      </c>
      <c r="CR75" s="238" t="str">
        <f t="shared" si="39"/>
        <v/>
      </c>
      <c r="CS75" s="238" t="str">
        <f t="shared" si="40"/>
        <v/>
      </c>
      <c r="CT75" s="240" t="str">
        <f t="shared" si="41"/>
        <v/>
      </c>
      <c r="CU75" s="241" t="str">
        <f t="shared" si="42"/>
        <v/>
      </c>
      <c r="CV75" s="241" t="str">
        <f t="shared" si="43"/>
        <v/>
      </c>
      <c r="CW75" s="241" t="str">
        <f t="shared" si="44"/>
        <v/>
      </c>
      <c r="CX75" s="241" t="str">
        <f t="shared" si="45"/>
        <v/>
      </c>
      <c r="CY75" s="241" t="str">
        <f t="shared" si="46"/>
        <v/>
      </c>
      <c r="CZ75" s="241" t="str">
        <f t="shared" si="47"/>
        <v/>
      </c>
      <c r="DA75" s="241" t="str">
        <f t="shared" si="48"/>
        <v/>
      </c>
      <c r="DB75" s="241" t="str">
        <f t="shared" si="49"/>
        <v/>
      </c>
      <c r="DC75" s="241" t="str">
        <f t="shared" si="50"/>
        <v/>
      </c>
      <c r="DD75" s="241" t="str">
        <f t="shared" si="51"/>
        <v/>
      </c>
      <c r="DE75" s="241" t="str">
        <f t="shared" si="52"/>
        <v/>
      </c>
      <c r="DF75" s="241" t="str">
        <f t="shared" si="53"/>
        <v/>
      </c>
      <c r="DG75" s="242" t="str">
        <f t="shared" ref="DG75:DG80" si="112">IF($B75="","",IF(COUNT($CU75:$DF75)=0,0,ROUND(SUMPRODUCT($CU75:$DF75,$CU$7:$DF$7)/SUMIF($CU75:$DF75,"&gt;=4",$CU$7:$DF$7),2)))</f>
        <v/>
      </c>
      <c r="DH75" s="82" t="str">
        <f t="shared" si="54"/>
        <v/>
      </c>
      <c r="DI75" s="82" t="str">
        <f t="shared" si="55"/>
        <v/>
      </c>
      <c r="DJ75" s="82" t="str">
        <f t="shared" si="56"/>
        <v/>
      </c>
      <c r="DK75" s="82" t="str">
        <f t="shared" si="57"/>
        <v/>
      </c>
      <c r="DL75" s="82" t="str">
        <f t="shared" si="58"/>
        <v/>
      </c>
      <c r="DM75" s="82" t="str">
        <f t="shared" si="59"/>
        <v/>
      </c>
      <c r="DN75" s="82" t="str">
        <f t="shared" si="60"/>
        <v/>
      </c>
      <c r="DO75" s="82" t="str">
        <f t="shared" si="61"/>
        <v/>
      </c>
      <c r="DP75" s="82" t="str">
        <f t="shared" si="62"/>
        <v/>
      </c>
      <c r="DQ75" s="82" t="str">
        <f t="shared" si="63"/>
        <v/>
      </c>
      <c r="DR75" s="82" t="str">
        <f t="shared" si="64"/>
        <v/>
      </c>
      <c r="DS75" s="253" t="str">
        <f t="shared" si="65"/>
        <v/>
      </c>
      <c r="DT75" s="250" t="str">
        <f t="shared" si="66"/>
        <v/>
      </c>
      <c r="DU75" s="238" t="str">
        <f t="shared" si="67"/>
        <v/>
      </c>
      <c r="DV75" s="238" t="str">
        <f t="shared" si="68"/>
        <v/>
      </c>
      <c r="DW75" s="238" t="str">
        <f t="shared" si="69"/>
        <v/>
      </c>
      <c r="DX75" s="238" t="str">
        <f t="shared" si="70"/>
        <v/>
      </c>
      <c r="DY75" s="238" t="str">
        <f t="shared" si="71"/>
        <v/>
      </c>
      <c r="DZ75" s="238" t="str">
        <f t="shared" si="72"/>
        <v/>
      </c>
      <c r="EA75" s="238" t="str">
        <f t="shared" si="73"/>
        <v/>
      </c>
      <c r="EB75" s="238" t="str">
        <f t="shared" si="74"/>
        <v/>
      </c>
      <c r="EC75" s="238" t="str">
        <f t="shared" si="75"/>
        <v/>
      </c>
      <c r="ED75" s="238" t="str">
        <f t="shared" si="76"/>
        <v/>
      </c>
      <c r="EE75" s="238" t="str">
        <f t="shared" si="77"/>
        <v/>
      </c>
      <c r="EF75" s="255" t="str">
        <f t="shared" si="78"/>
        <v/>
      </c>
      <c r="EG75" s="257" t="str">
        <f t="shared" si="79"/>
        <v/>
      </c>
      <c r="EH75" s="257" t="str">
        <f t="shared" si="80"/>
        <v/>
      </c>
      <c r="EI75" s="257" t="str">
        <f t="shared" si="81"/>
        <v/>
      </c>
      <c r="EJ75" s="257" t="str">
        <f t="shared" si="82"/>
        <v/>
      </c>
      <c r="EK75" s="257" t="str">
        <f t="shared" si="83"/>
        <v/>
      </c>
      <c r="EL75" s="257" t="str">
        <f t="shared" si="84"/>
        <v/>
      </c>
      <c r="EM75" s="257" t="str">
        <f t="shared" si="85"/>
        <v/>
      </c>
      <c r="EN75" s="257" t="str">
        <f t="shared" si="86"/>
        <v/>
      </c>
      <c r="EO75" s="257" t="str">
        <f t="shared" si="87"/>
        <v/>
      </c>
      <c r="EP75" s="257" t="str">
        <f t="shared" si="88"/>
        <v/>
      </c>
      <c r="EQ75" s="257" t="str">
        <f t="shared" si="89"/>
        <v/>
      </c>
      <c r="ER75" s="257" t="str">
        <f t="shared" si="90"/>
        <v/>
      </c>
      <c r="ES75" s="262" t="str">
        <f t="shared" ref="ES75:ES80" si="113">IF($B75="","",IF(COUNT($EG75:$ER75)=0,0,ROUND(SUMPRODUCT($EG75:$ER75,$EG$7:$ER$7)/SUMIF($EG75:$ER75,"&gt;=4",$EG$7:$ER$7),2)))</f>
        <v/>
      </c>
      <c r="ET75" s="307" t="str">
        <f t="shared" si="91"/>
        <v/>
      </c>
      <c r="EX75" s="89"/>
    </row>
    <row r="76" spans="1:154" s="90" customFormat="1" ht="30" customHeight="1">
      <c r="A76" s="272" t="str">
        <f>IF($B76="","",SUBTOTAL(3,$B$11:B76))</f>
        <v/>
      </c>
      <c r="B76" s="273"/>
      <c r="C76" s="76" t="str">
        <f>IF($B76="","",VLOOKUP($B76,'DS LOP HKI'!$B$2:$D$951,2,0))</f>
        <v/>
      </c>
      <c r="D76" s="77" t="str">
        <f>IF($B76="","",VLOOKUP($B76,'DS LOP HKI'!$B$2:$D$951,3,0))</f>
        <v/>
      </c>
      <c r="E76" s="78"/>
      <c r="F76" s="79"/>
      <c r="G76" s="80"/>
      <c r="H76" s="81" t="str">
        <f>IF(OR($H$6="",$H$7=""),"",IF($B76="","",IF(ISNA(VLOOKUP($B76,'LT01'!$B$11:$M$80,12,FALSE)),"",IF(VLOOKUP($B76,'LT01'!$B$11:$M$80,12,FALSE)="","",VLOOKUP($B76,'LT01'!$B$11:$M$80,12,FALSE)))))</f>
        <v/>
      </c>
      <c r="I76" s="82" t="str">
        <f>IF(OR($H$6="",$H$7=""),"",IF($B76="","",IF(ISNA(VLOOKUP($B76,'LT01'!$B$11:$N$80,13,FALSE)),"",VLOOKUP($B76,'LT01'!$B$11:$N$80,13,FALSE))))</f>
        <v/>
      </c>
      <c r="J76" s="83"/>
      <c r="K76" s="84" t="str">
        <f>IF(OR($H$6="",$H$7=""),"",IF($B76="","",IF(ISNA(VLOOKUP($B76,'LT01'!$B$11:$Q$80,16,FALSE)),"",IF(VLOOKUP($B76,'LT01'!$B$11:$Q$80,16,FALSE)="","",VLOOKUP($B76,'LT01'!$B$11:$Q$80,16,FALSE)))))</f>
        <v/>
      </c>
      <c r="L76" s="85" t="str">
        <f>IF(OR($L$6="",$L$7=""),"",IF($B76="","",IF(ISNA(VLOOKUP($B76,'LT02'!$B$11:$M$80,12,FALSE)),"",IF(VLOOKUP($B76,'LT02'!$B$11:$M$80,12,FALSE)="","",VLOOKUP($B76,'LT02'!$B$11:$M$80,12,FALSE)))))</f>
        <v/>
      </c>
      <c r="M76" s="82" t="str">
        <f>IF(OR($L$6="",$L$7=""),"",IF($B76="","",IF(ISNA(VLOOKUP($B76,'LT02'!$B$11:$N$80,13,FALSE)),"",VLOOKUP($B76,'LT02'!$B$11:$N$80,13,FALSE))))</f>
        <v/>
      </c>
      <c r="N76" s="83"/>
      <c r="O76" s="84" t="str">
        <f>IF(OR($L$6="",$L$7=""),"",IF($B76="","",IF(ISNA(VLOOKUP($B76,'LT02'!$B$11:$Q$80,16,FALSE)),"",VLOOKUP($B76,'LT02'!$B$11:$Q$80,16,FALSE))))</f>
        <v/>
      </c>
      <c r="P76" s="85" t="str">
        <f>IF(OR($P$6="",$P$7=""),"",IF($B76="","",IF(ISNA(VLOOKUP($B76,'LT03'!$B$11:$M$80,12,FALSE)),"",IF(VLOOKUP($B76,'LT03'!$B$11:$M$80,12,FALSE)="","",VLOOKUP($B76,'LT03'!$B$11:$M$80,12,FALSE)))))</f>
        <v/>
      </c>
      <c r="Q76" s="82" t="str">
        <f>IF(OR($P$6="",$P$7=""),"",IF($B76="","",IF(ISNA(VLOOKUP($B76,'LT03'!$B$11:$N$80,13,FALSE)),"",VLOOKUP($B76,'LT03'!$B$11:$N$80,13,FALSE))))</f>
        <v/>
      </c>
      <c r="R76" s="83"/>
      <c r="S76" s="84" t="str">
        <f>IF(OR($P$6="",$P$7=""),"",IF($B76="","",IF(ISNA(VLOOKUP($B76,'LT03'!$B$11:$Q$80,16,FALSE)),"",VLOOKUP($B76,'LT03'!$B$11:$Q$80,16,FALSE))))</f>
        <v/>
      </c>
      <c r="T76" s="85" t="str">
        <f>IF(OR($T$6="",$T$7=""),"",IF($B76="","",IF(ISNA(VLOOKUP($B76,'LT04'!$B$11:$M$80,12,FALSE)),"",IF(VLOOKUP($B76,'LT04'!$B$11:$M$80,12,FALSE)="","",VLOOKUP($B76,'LT04'!$B$11:$M$80,12,FALSE)))))</f>
        <v/>
      </c>
      <c r="U76" s="82" t="str">
        <f>IF(OR($T$6="",$T$7=""),"",IF($B76="","",IF(ISNA(VLOOKUP($B76,'LT04'!$B$11:$N$80,13,FALSE)),"",VLOOKUP($B76,'LT04'!$B$11:$N$80,13,FALSE))))</f>
        <v/>
      </c>
      <c r="V76" s="83"/>
      <c r="W76" s="84" t="str">
        <f>IF(OR($T$6="",$T$7=""),"",IF($B76="","",IF(ISNA(VLOOKUP($B76,'LT04'!$B$11:$Q$80,16,FALSE)),"",VLOOKUP($B76,'LT04'!$B$11:$Q$80,16,FALSE))))</f>
        <v/>
      </c>
      <c r="X76" s="85" t="str">
        <f>IF(OR($X$6="",$X$7=""),"",IF($B76="","",IF(ISNA(VLOOKUP($B76,'LT05'!$B$11:$M$80,12,FALSE)),"",IF(VLOOKUP($B76,'LT05'!$B$11:$M$80,12,FALSE)="","",VLOOKUP($B76,'LT05'!$B$11:$M$80,12,FALSE)))))</f>
        <v/>
      </c>
      <c r="Y76" s="82" t="str">
        <f>IF(OR($X$6="",$X$7=""),"",IF($B76="","",IF(ISNA(VLOOKUP($B76,'LT05'!$B$11:$N$80,13,FALSE)),"",VLOOKUP($B76,'LT05'!$B$11:$N$80,13,FALSE))))</f>
        <v/>
      </c>
      <c r="Z76" s="83"/>
      <c r="AA76" s="84" t="str">
        <f>IF(OR($X$6="",$X$7=""),"",IF($B76="","",IF(ISNA(VLOOKUP($B76,'LT05'!$B$11:$Q$80,16,FALSE)),"",VLOOKUP($B76,'LT05'!$B$11:$Q$80,16,FALSE))))</f>
        <v/>
      </c>
      <c r="AB76" s="85" t="str">
        <f>IF(OR($AB$6="",$AB$7=""),"",IF($B76="","",IF(ISNA(VLOOKUP($B76,'LT06'!$B$11:$M$80,12,FALSE)),"",IF(VLOOKUP($B76,'LT06'!$B$11:$M$80,12,FALSE)="","",VLOOKUP($B76,'LT06'!$B$11:$M$80,12,FALSE)))))</f>
        <v/>
      </c>
      <c r="AC76" s="82" t="str">
        <f>IF(OR($AB$6="",$AB$7=""),"",IF($B76="","",IF(ISNA(VLOOKUP($B76,'LT06'!$B$11:$N$80,13,FALSE)),"",VLOOKUP($B76,'LT06'!$B$11:$N$80,13,FALSE))))</f>
        <v/>
      </c>
      <c r="AD76" s="83"/>
      <c r="AE76" s="84" t="str">
        <f>IF(OR($AB$6="",$AB$7=""),"",IF($B76="","",IF(ISNA(VLOOKUP($B76,'LT06'!$B$11:$Q$80,16,FALSE)),"",VLOOKUP($B76,'LT06'!$B$11:$Q$80,16,FALSE))))</f>
        <v/>
      </c>
      <c r="AF76" s="85" t="str">
        <f>IF(OR($AF$6="",$AF$7=""),"",IF($B76="","",IF(ISNA(VLOOKUP($B76,'LT07'!$B$11:$M$80,12,FALSE)),"",IF(VLOOKUP($B76,'LT07'!$B$11:$M$80,12,FALSE)="","",VLOOKUP($B76,'LT07'!$B$11:$M$80,12,FALSE)))))</f>
        <v/>
      </c>
      <c r="AG76" s="82" t="str">
        <f>IF(OR($AF$6="",$AF$7=""),"",IF($B76="","",IF(ISNA(VLOOKUP($B76,'LT07'!$B$11:$N$80,13,FALSE)),"",VLOOKUP($B76,'LT07'!$B$11:$N$80,13,FALSE))))</f>
        <v/>
      </c>
      <c r="AH76" s="83"/>
      <c r="AI76" s="84" t="str">
        <f>IF(OR($AF$6="",$AF$7=""),"",IF($B76="","",IF(ISNA(VLOOKUP($B76,'LT07'!$B$11:$Q$80,16,FALSE)),"",VLOOKUP($B76,'LT07'!$B$11:$Q$80,16,FALSE))))</f>
        <v/>
      </c>
      <c r="AJ76" s="304"/>
      <c r="AK76" s="82" t="str">
        <f>IF(OR($AJ$6="",$AJ$7=""),"",IF($B76="","",IF(ISNA(VLOOKUP($B76,'DO AN'!$B$11:$L$80,11,FALSE)),"",IF(VLOOKUP($B76,'DO AN'!$B$11:$L$80,11,FALSE)="","",VLOOKUP($B76,'DO AN'!$B$11:$L$80,11,FALSE)))))</f>
        <v/>
      </c>
      <c r="AL76" s="83"/>
      <c r="AM76" s="451"/>
      <c r="AN76" s="83"/>
      <c r="AO76" s="82" t="str">
        <f>IF(OR($AN$6="",$AN$7=""),"",IF($B76="","",IF(ISNA(VLOOKUP($B76,'DO AN 2'!$B$11:$L$80,11,FALSE)),"",IF(VLOOKUP($B76,'DO AN 2'!$B$11:$L$80,11,FALSE)="","",VLOOKUP($B76,'DO AN 2'!$B$11:$L$80,11,FALSE)))))</f>
        <v/>
      </c>
      <c r="AP76" s="83"/>
      <c r="AQ76" s="83"/>
      <c r="AR76" s="454"/>
      <c r="AS76" s="82" t="str">
        <f>IF(OR($AR$6="",$AR$7=""),"",IF($B76="","",IF(ISNA(VLOOKUP($B76,'TH01'!$B$11:$O$80,14,FALSE)),"",VLOOKUP($B76,'TH01'!$B$11:$O$80,14,FALSE))))</f>
        <v/>
      </c>
      <c r="AT76" s="83"/>
      <c r="AU76" s="303"/>
      <c r="AV76" s="304"/>
      <c r="AW76" s="82" t="str">
        <f>IF(OR($AV$6="",$AV$7=""),"",IF($B76="","",IF(ISNA(VLOOKUP($B76,'TH02'!$B$11:$O$80,14,FALSE)),"",VLOOKUP($B76,'TH02'!$B$11:$O$80,14,FALSE))))</f>
        <v/>
      </c>
      <c r="AX76" s="83"/>
      <c r="AY76" s="303"/>
      <c r="AZ76" s="304"/>
      <c r="BA76" s="82" t="str">
        <f>IF(OR($AZ$6="",$AZ$7=""),"",IF($B76="","",IF(ISNA(VLOOKUP($B76,'TH03'!$B$11:$O$80,14,FALSE)),"",VLOOKUP($B76,'TH03'!$B$11:$O$80,14,FALSE))))</f>
        <v/>
      </c>
      <c r="BB76" s="83"/>
      <c r="BC76" s="303"/>
      <c r="BD76" s="86" t="str">
        <f>$CT76</f>
        <v/>
      </c>
      <c r="BE76" s="86" t="str">
        <f>$EF76</f>
        <v/>
      </c>
      <c r="BF76" s="87"/>
      <c r="BG76" s="88" t="str">
        <f t="shared" si="103"/>
        <v/>
      </c>
      <c r="BH76" s="88" t="str">
        <f t="shared" si="104"/>
        <v/>
      </c>
      <c r="BI76" s="87"/>
      <c r="BJ76" s="86" t="str">
        <f t="shared" si="105"/>
        <v/>
      </c>
      <c r="BK76" s="265" t="str">
        <f t="shared" si="106"/>
        <v/>
      </c>
      <c r="BL76" s="88" t="str">
        <f t="shared" si="107"/>
        <v/>
      </c>
      <c r="BM76" s="88" t="str">
        <f t="shared" si="108"/>
        <v/>
      </c>
      <c r="BN76" s="88" t="str">
        <f t="shared" si="109"/>
        <v/>
      </c>
      <c r="BO76" s="86" t="str">
        <f>IF($DG76="","",$DG76)</f>
        <v/>
      </c>
      <c r="BP76" s="86" t="str">
        <f t="shared" si="110"/>
        <v/>
      </c>
      <c r="BQ76" s="86" t="str">
        <f>IF($ES76="","",$ES76)</f>
        <v/>
      </c>
      <c r="BR76" s="86" t="str">
        <f t="shared" si="111"/>
        <v/>
      </c>
      <c r="BS76" s="87"/>
      <c r="BT76" s="276" t="str">
        <f>IF(COUNT($BU76:$CF76)=0,"",COUNTIF($BU76:$CF76,"&lt;5"))</f>
        <v/>
      </c>
      <c r="BU76" s="238" t="str">
        <f>$H76</f>
        <v/>
      </c>
      <c r="BV76" s="238" t="str">
        <f>$L76</f>
        <v/>
      </c>
      <c r="BW76" s="238" t="str">
        <f>$P76</f>
        <v/>
      </c>
      <c r="BX76" s="238" t="str">
        <f>$T76</f>
        <v/>
      </c>
      <c r="BY76" s="238" t="str">
        <f>$X76</f>
        <v/>
      </c>
      <c r="BZ76" s="238" t="str">
        <f>$AB76</f>
        <v/>
      </c>
      <c r="CA76" s="238" t="str">
        <f>$AF76</f>
        <v/>
      </c>
      <c r="CB76" s="238" t="str">
        <f>$AK76</f>
        <v/>
      </c>
      <c r="CC76" s="238" t="str">
        <f>$AO76</f>
        <v/>
      </c>
      <c r="CD76" s="238" t="str">
        <f>$AS76</f>
        <v/>
      </c>
      <c r="CE76" s="238" t="str">
        <f>$AW76</f>
        <v/>
      </c>
      <c r="CF76" s="238" t="str">
        <f>$BA76</f>
        <v/>
      </c>
      <c r="CG76" s="239" t="str">
        <f>IF(COUNT($CH76:$CS76)=0,"",COUNTIF($CH76:$CS76,"&lt;4"))</f>
        <v/>
      </c>
      <c r="CH76" s="238" t="str">
        <f>$I76</f>
        <v/>
      </c>
      <c r="CI76" s="238" t="str">
        <f>$M76</f>
        <v/>
      </c>
      <c r="CJ76" s="238" t="str">
        <f>$Q76</f>
        <v/>
      </c>
      <c r="CK76" s="238" t="str">
        <f>$U76</f>
        <v/>
      </c>
      <c r="CL76" s="238" t="str">
        <f>$Y76</f>
        <v/>
      </c>
      <c r="CM76" s="238" t="str">
        <f>$AC76</f>
        <v/>
      </c>
      <c r="CN76" s="238" t="str">
        <f>$AG76</f>
        <v/>
      </c>
      <c r="CO76" s="238" t="str">
        <f>$AK76</f>
        <v/>
      </c>
      <c r="CP76" s="238" t="str">
        <f>$AO76</f>
        <v/>
      </c>
      <c r="CQ76" s="238" t="str">
        <f>$AS76</f>
        <v/>
      </c>
      <c r="CR76" s="238" t="str">
        <f>$AW76</f>
        <v/>
      </c>
      <c r="CS76" s="238" t="str">
        <f>$BA76</f>
        <v/>
      </c>
      <c r="CT76" s="240" t="str">
        <f>IF(COUNT($CH76:$CS76)=0,"",ROUND(SUMPRODUCT($CH76:$CS76,$CH$7:$CS$7)/(SUM($CH$7:$CS$7)-SUMIF($CH76:$CS76,"",$CH$7:$CS$7)),2))</f>
        <v/>
      </c>
      <c r="CU76" s="241" t="str">
        <f>IF($CH76&lt;4,"",$CH76)</f>
        <v/>
      </c>
      <c r="CV76" s="241" t="str">
        <f>IF($CI76&lt;4,"",$CI76)</f>
        <v/>
      </c>
      <c r="CW76" s="241" t="str">
        <f>IF($CJ76&lt;4,"",$CJ76)</f>
        <v/>
      </c>
      <c r="CX76" s="241" t="str">
        <f>IF($CK76&lt;4,"",$CK76)</f>
        <v/>
      </c>
      <c r="CY76" s="241" t="str">
        <f>IF($CL76&lt;4,"",$CL76)</f>
        <v/>
      </c>
      <c r="CZ76" s="241" t="str">
        <f>IF($CM76&lt;4,"",$CM76)</f>
        <v/>
      </c>
      <c r="DA76" s="241" t="str">
        <f>IF($CN76&lt;4,"",$CN76)</f>
        <v/>
      </c>
      <c r="DB76" s="241" t="str">
        <f>IF($CO76&lt;4,"",$CO76)</f>
        <v/>
      </c>
      <c r="DC76" s="241" t="str">
        <f>IF($CP76&lt;4,"",$CP76)</f>
        <v/>
      </c>
      <c r="DD76" s="241" t="str">
        <f>IF($CQ76&lt;4,"",$CQ76)</f>
        <v/>
      </c>
      <c r="DE76" s="241" t="str">
        <f>IF($CR76&lt;4,"",$CR76)</f>
        <v/>
      </c>
      <c r="DF76" s="241" t="str">
        <f>IF($CS76&lt;4,"",$CS76)</f>
        <v/>
      </c>
      <c r="DG76" s="242" t="str">
        <f t="shared" si="112"/>
        <v/>
      </c>
      <c r="DH76" s="82" t="str">
        <f>IF($K76="","",$K76)</f>
        <v/>
      </c>
      <c r="DI76" s="82" t="str">
        <f>IF($O76="","",$O76)</f>
        <v/>
      </c>
      <c r="DJ76" s="82" t="str">
        <f>IF($S76="","",$S76)</f>
        <v/>
      </c>
      <c r="DK76" s="82" t="str">
        <f>IF($W76="","",$W76)</f>
        <v/>
      </c>
      <c r="DL76" s="82" t="str">
        <f>IF($AA76="","",$AA76)</f>
        <v/>
      </c>
      <c r="DM76" s="82" t="str">
        <f>IF($AE76="","",$AE76)</f>
        <v/>
      </c>
      <c r="DN76" s="82" t="str">
        <f>IF($AI76="","",$AI76)</f>
        <v/>
      </c>
      <c r="DO76" s="82" t="str">
        <f>IF($AM76="","",$AM76)</f>
        <v/>
      </c>
      <c r="DP76" s="82" t="str">
        <f>IF($AQ76="","",$AQ76)</f>
        <v/>
      </c>
      <c r="DQ76" s="82" t="str">
        <f>IF($AU76="","",$AU76)</f>
        <v/>
      </c>
      <c r="DR76" s="82" t="str">
        <f>IF($AY76="","",$AY76)</f>
        <v/>
      </c>
      <c r="DS76" s="253" t="str">
        <f>IF($BC76="","",$BC76)</f>
        <v/>
      </c>
      <c r="DT76" s="250" t="str">
        <f>IF($H76&gt;=$J76,$I76,$K76)</f>
        <v/>
      </c>
      <c r="DU76" s="238" t="str">
        <f>IF($L76&gt;=$N76,$M76,$O76)</f>
        <v/>
      </c>
      <c r="DV76" s="238" t="str">
        <f>IF($P76&gt;=$R76,$Q76,$S76)</f>
        <v/>
      </c>
      <c r="DW76" s="238" t="str">
        <f>IF($T76&gt;=$V76,$U76,$W76)</f>
        <v/>
      </c>
      <c r="DX76" s="238" t="str">
        <f>IF($X76&gt;=$Z76,$Y76,$AA76)</f>
        <v/>
      </c>
      <c r="DY76" s="238" t="str">
        <f>IF($AB76&gt;=$AD76,$AC76,$AE76)</f>
        <v/>
      </c>
      <c r="DZ76" s="238" t="str">
        <f>IF($AF76&gt;=$AH76,$AG76,$AI76)</f>
        <v/>
      </c>
      <c r="EA76" s="238" t="str">
        <f>IF($AJ76&gt;=$AL76,$AK76,$AM76)</f>
        <v/>
      </c>
      <c r="EB76" s="238" t="str">
        <f>IF($AN76&gt;=$AP76,$AO76,$AQ76)</f>
        <v/>
      </c>
      <c r="EC76" s="238" t="str">
        <f>IF($AR76&gt;=$AT76,$AS76,$AU76)</f>
        <v/>
      </c>
      <c r="ED76" s="238" t="str">
        <f>IF($AV76&gt;=$AX76,$AW76,$AY76)</f>
        <v/>
      </c>
      <c r="EE76" s="238" t="str">
        <f>IF($AZ76&gt;=$BB76,$BA76,$BC76)</f>
        <v/>
      </c>
      <c r="EF76" s="255" t="str">
        <f>IF(COUNT($DH76:$DS76)=0,"",ROUND(SUMPRODUCT($DT76:$EE76,$DT$7:$EE$7)/(SUM($DT$7:$EE$7)-SUMIF($DT76:$EE76,"",$DT$7:$EE$7)),2))</f>
        <v/>
      </c>
      <c r="EG76" s="257" t="str">
        <f>IF($DT76&lt;4,"",$DT76)</f>
        <v/>
      </c>
      <c r="EH76" s="257" t="str">
        <f>IF($DU76&lt;4,"",$DU76)</f>
        <v/>
      </c>
      <c r="EI76" s="257" t="str">
        <f>IF($DV76&lt;4,"",$DV76)</f>
        <v/>
      </c>
      <c r="EJ76" s="257" t="str">
        <f>IF($DW76&lt;4,"",$DW76)</f>
        <v/>
      </c>
      <c r="EK76" s="257" t="str">
        <f>IF($DX76&lt;4,"",$DX76)</f>
        <v/>
      </c>
      <c r="EL76" s="257" t="str">
        <f>IF($DY76&lt;4,"",$DY76)</f>
        <v/>
      </c>
      <c r="EM76" s="257" t="str">
        <f>IF($DZ76&lt;4,"",$DZ76)</f>
        <v/>
      </c>
      <c r="EN76" s="257" t="str">
        <f>IF($EA76&lt;4,"",$EA76)</f>
        <v/>
      </c>
      <c r="EO76" s="257" t="str">
        <f>IF($EB76&lt;4,"",$EB76)</f>
        <v/>
      </c>
      <c r="EP76" s="257" t="str">
        <f>IF($EC76&lt;4,"",$EC76)</f>
        <v/>
      </c>
      <c r="EQ76" s="257" t="str">
        <f>IF($ED76&lt;4,"",$ED76)</f>
        <v/>
      </c>
      <c r="ER76" s="257" t="str">
        <f>IF($EE76&lt;4,"",$EE76)</f>
        <v/>
      </c>
      <c r="ES76" s="262" t="str">
        <f t="shared" si="113"/>
        <v/>
      </c>
      <c r="ET76" s="307" t="str">
        <f>IF($EF76="",$CT76,$EF76)</f>
        <v/>
      </c>
      <c r="EX76" s="89"/>
    </row>
    <row r="77" spans="1:154" s="90" customFormat="1" ht="30" customHeight="1">
      <c r="A77" s="272" t="str">
        <f>IF($B77="","",SUBTOTAL(3,$B$11:B77))</f>
        <v/>
      </c>
      <c r="B77" s="273"/>
      <c r="C77" s="76" t="str">
        <f>IF($B77="","",VLOOKUP($B77,'DS LOP HKI'!$B$2:$D$951,2,0))</f>
        <v/>
      </c>
      <c r="D77" s="77" t="str">
        <f>IF($B77="","",VLOOKUP($B77,'DS LOP HKI'!$B$2:$D$951,3,0))</f>
        <v/>
      </c>
      <c r="E77" s="78"/>
      <c r="F77" s="79"/>
      <c r="G77" s="80"/>
      <c r="H77" s="81" t="str">
        <f>IF(OR($H$6="",$H$7=""),"",IF($B77="","",IF(ISNA(VLOOKUP($B77,'LT01'!$B$11:$M$80,12,FALSE)),"",IF(VLOOKUP($B77,'LT01'!$B$11:$M$80,12,FALSE)="","",VLOOKUP($B77,'LT01'!$B$11:$M$80,12,FALSE)))))</f>
        <v/>
      </c>
      <c r="I77" s="82" t="str">
        <f>IF(OR($H$6="",$H$7=""),"",IF($B77="","",IF(ISNA(VLOOKUP($B77,'LT01'!$B$11:$N$80,13,FALSE)),"",VLOOKUP($B77,'LT01'!$B$11:$N$80,13,FALSE))))</f>
        <v/>
      </c>
      <c r="J77" s="83"/>
      <c r="K77" s="84" t="str">
        <f>IF(OR($H$6="",$H$7=""),"",IF($B77="","",IF(ISNA(VLOOKUP($B77,'LT01'!$B$11:$Q$80,16,FALSE)),"",IF(VLOOKUP($B77,'LT01'!$B$11:$Q$80,16,FALSE)="","",VLOOKUP($B77,'LT01'!$B$11:$Q$80,16,FALSE)))))</f>
        <v/>
      </c>
      <c r="L77" s="85" t="str">
        <f>IF(OR($L$6="",$L$7=""),"",IF($B77="","",IF(ISNA(VLOOKUP($B77,'LT02'!$B$11:$M$80,12,FALSE)),"",IF(VLOOKUP($B77,'LT02'!$B$11:$M$80,12,FALSE)="","",VLOOKUP($B77,'LT02'!$B$11:$M$80,12,FALSE)))))</f>
        <v/>
      </c>
      <c r="M77" s="82" t="str">
        <f>IF(OR($L$6="",$L$7=""),"",IF($B77="","",IF(ISNA(VLOOKUP($B77,'LT02'!$B$11:$N$80,13,FALSE)),"",VLOOKUP($B77,'LT02'!$B$11:$N$80,13,FALSE))))</f>
        <v/>
      </c>
      <c r="N77" s="83"/>
      <c r="O77" s="84" t="str">
        <f>IF(OR($L$6="",$L$7=""),"",IF($B77="","",IF(ISNA(VLOOKUP($B77,'LT02'!$B$11:$Q$80,16,FALSE)),"",VLOOKUP($B77,'LT02'!$B$11:$Q$80,16,FALSE))))</f>
        <v/>
      </c>
      <c r="P77" s="85" t="str">
        <f>IF(OR($P$6="",$P$7=""),"",IF($B77="","",IF(ISNA(VLOOKUP($B77,'LT03'!$B$11:$M$80,12,FALSE)),"",IF(VLOOKUP($B77,'LT03'!$B$11:$M$80,12,FALSE)="","",VLOOKUP($B77,'LT03'!$B$11:$M$80,12,FALSE)))))</f>
        <v/>
      </c>
      <c r="Q77" s="82" t="str">
        <f>IF(OR($P$6="",$P$7=""),"",IF($B77="","",IF(ISNA(VLOOKUP($B77,'LT03'!$B$11:$N$80,13,FALSE)),"",VLOOKUP($B77,'LT03'!$B$11:$N$80,13,FALSE))))</f>
        <v/>
      </c>
      <c r="R77" s="83"/>
      <c r="S77" s="84" t="str">
        <f>IF(OR($P$6="",$P$7=""),"",IF($B77="","",IF(ISNA(VLOOKUP($B77,'LT03'!$B$11:$Q$80,16,FALSE)),"",VLOOKUP($B77,'LT03'!$B$11:$Q$80,16,FALSE))))</f>
        <v/>
      </c>
      <c r="T77" s="85" t="str">
        <f>IF(OR($T$6="",$T$7=""),"",IF($B77="","",IF(ISNA(VLOOKUP($B77,'LT04'!$B$11:$M$80,12,FALSE)),"",IF(VLOOKUP($B77,'LT04'!$B$11:$M$80,12,FALSE)="","",VLOOKUP($B77,'LT04'!$B$11:$M$80,12,FALSE)))))</f>
        <v/>
      </c>
      <c r="U77" s="82" t="str">
        <f>IF(OR($T$6="",$T$7=""),"",IF($B77="","",IF(ISNA(VLOOKUP($B77,'LT04'!$B$11:$N$80,13,FALSE)),"",VLOOKUP($B77,'LT04'!$B$11:$N$80,13,FALSE))))</f>
        <v/>
      </c>
      <c r="V77" s="83"/>
      <c r="W77" s="84" t="str">
        <f>IF(OR($T$6="",$T$7=""),"",IF($B77="","",IF(ISNA(VLOOKUP($B77,'LT04'!$B$11:$Q$80,16,FALSE)),"",VLOOKUP($B77,'LT04'!$B$11:$Q$80,16,FALSE))))</f>
        <v/>
      </c>
      <c r="X77" s="85" t="str">
        <f>IF(OR($X$6="",$X$7=""),"",IF($B77="","",IF(ISNA(VLOOKUP($B77,'LT05'!$B$11:$M$80,12,FALSE)),"",IF(VLOOKUP($B77,'LT05'!$B$11:$M$80,12,FALSE)="","",VLOOKUP($B77,'LT05'!$B$11:$M$80,12,FALSE)))))</f>
        <v/>
      </c>
      <c r="Y77" s="82" t="str">
        <f>IF(OR($X$6="",$X$7=""),"",IF($B77="","",IF(ISNA(VLOOKUP($B77,'LT05'!$B$11:$N$80,13,FALSE)),"",VLOOKUP($B77,'LT05'!$B$11:$N$80,13,FALSE))))</f>
        <v/>
      </c>
      <c r="Z77" s="83"/>
      <c r="AA77" s="84" t="str">
        <f>IF(OR($X$6="",$X$7=""),"",IF($B77="","",IF(ISNA(VLOOKUP($B77,'LT05'!$B$11:$Q$80,16,FALSE)),"",VLOOKUP($B77,'LT05'!$B$11:$Q$80,16,FALSE))))</f>
        <v/>
      </c>
      <c r="AB77" s="85" t="str">
        <f>IF(OR($AB$6="",$AB$7=""),"",IF($B77="","",IF(ISNA(VLOOKUP($B77,'LT06'!$B$11:$M$80,12,FALSE)),"",IF(VLOOKUP($B77,'LT06'!$B$11:$M$80,12,FALSE)="","",VLOOKUP($B77,'LT06'!$B$11:$M$80,12,FALSE)))))</f>
        <v/>
      </c>
      <c r="AC77" s="82" t="str">
        <f>IF(OR($AB$6="",$AB$7=""),"",IF($B77="","",IF(ISNA(VLOOKUP($B77,'LT06'!$B$11:$N$80,13,FALSE)),"",VLOOKUP($B77,'LT06'!$B$11:$N$80,13,FALSE))))</f>
        <v/>
      </c>
      <c r="AD77" s="83"/>
      <c r="AE77" s="84" t="str">
        <f>IF(OR($AB$6="",$AB$7=""),"",IF($B77="","",IF(ISNA(VLOOKUP($B77,'LT06'!$B$11:$Q$80,16,FALSE)),"",VLOOKUP($B77,'LT06'!$B$11:$Q$80,16,FALSE))))</f>
        <v/>
      </c>
      <c r="AF77" s="85" t="str">
        <f>IF(OR($AF$6="",$AF$7=""),"",IF($B77="","",IF(ISNA(VLOOKUP($B77,'LT07'!$B$11:$M$80,12,FALSE)),"",IF(VLOOKUP($B77,'LT07'!$B$11:$M$80,12,FALSE)="","",VLOOKUP($B77,'LT07'!$B$11:$M$80,12,FALSE)))))</f>
        <v/>
      </c>
      <c r="AG77" s="82" t="str">
        <f>IF(OR($AF$6="",$AF$7=""),"",IF($B77="","",IF(ISNA(VLOOKUP($B77,'LT07'!$B$11:$N$80,13,FALSE)),"",VLOOKUP($B77,'LT07'!$B$11:$N$80,13,FALSE))))</f>
        <v/>
      </c>
      <c r="AH77" s="83"/>
      <c r="AI77" s="84" t="str">
        <f>IF(OR($AF$6="",$AF$7=""),"",IF($B77="","",IF(ISNA(VLOOKUP($B77,'LT07'!$B$11:$Q$80,16,FALSE)),"",VLOOKUP($B77,'LT07'!$B$11:$Q$80,16,FALSE))))</f>
        <v/>
      </c>
      <c r="AJ77" s="304"/>
      <c r="AK77" s="82" t="str">
        <f>IF(OR($AJ$6="",$AJ$7=""),"",IF($B77="","",IF(ISNA(VLOOKUP($B77,'DO AN'!$B$11:$L$80,11,FALSE)),"",IF(VLOOKUP($B77,'DO AN'!$B$11:$L$80,11,FALSE)="","",VLOOKUP($B77,'DO AN'!$B$11:$L$80,11,FALSE)))))</f>
        <v/>
      </c>
      <c r="AL77" s="83"/>
      <c r="AM77" s="451"/>
      <c r="AN77" s="83"/>
      <c r="AO77" s="82" t="str">
        <f>IF(OR($AN$6="",$AN$7=""),"",IF($B77="","",IF(ISNA(VLOOKUP($B77,'DO AN 2'!$B$11:$L$80,11,FALSE)),"",IF(VLOOKUP($B77,'DO AN 2'!$B$11:$L$80,11,FALSE)="","",VLOOKUP($B77,'DO AN 2'!$B$11:$L$80,11,FALSE)))))</f>
        <v/>
      </c>
      <c r="AP77" s="83"/>
      <c r="AQ77" s="83"/>
      <c r="AR77" s="454"/>
      <c r="AS77" s="82" t="str">
        <f>IF(OR($AR$6="",$AR$7=""),"",IF($B77="","",IF(ISNA(VLOOKUP($B77,'TH01'!$B$11:$O$80,14,FALSE)),"",VLOOKUP($B77,'TH01'!$B$11:$O$80,14,FALSE))))</f>
        <v/>
      </c>
      <c r="AT77" s="83"/>
      <c r="AU77" s="303"/>
      <c r="AV77" s="304"/>
      <c r="AW77" s="82" t="str">
        <f>IF(OR($AV$6="",$AV$7=""),"",IF($B77="","",IF(ISNA(VLOOKUP($B77,'TH02'!$B$11:$O$80,14,FALSE)),"",VLOOKUP($B77,'TH02'!$B$11:$O$80,14,FALSE))))</f>
        <v/>
      </c>
      <c r="AX77" s="83"/>
      <c r="AY77" s="303"/>
      <c r="AZ77" s="304"/>
      <c r="BA77" s="82" t="str">
        <f>IF(OR($AZ$6="",$AZ$7=""),"",IF($B77="","",IF(ISNA(VLOOKUP($B77,'TH03'!$B$11:$O$80,14,FALSE)),"",VLOOKUP($B77,'TH03'!$B$11:$O$80,14,FALSE))))</f>
        <v/>
      </c>
      <c r="BB77" s="83"/>
      <c r="BC77" s="303"/>
      <c r="BD77" s="86" t="str">
        <f>$CT77</f>
        <v/>
      </c>
      <c r="BE77" s="86" t="str">
        <f>$EF77</f>
        <v/>
      </c>
      <c r="BF77" s="87"/>
      <c r="BG77" s="88" t="str">
        <f t="shared" si="103"/>
        <v/>
      </c>
      <c r="BH77" s="88" t="str">
        <f t="shared" si="104"/>
        <v/>
      </c>
      <c r="BI77" s="87"/>
      <c r="BJ77" s="86" t="str">
        <f t="shared" si="105"/>
        <v/>
      </c>
      <c r="BK77" s="265" t="str">
        <f t="shared" si="106"/>
        <v/>
      </c>
      <c r="BL77" s="88" t="str">
        <f t="shared" si="107"/>
        <v/>
      </c>
      <c r="BM77" s="88" t="str">
        <f t="shared" si="108"/>
        <v/>
      </c>
      <c r="BN77" s="88" t="str">
        <f t="shared" si="109"/>
        <v/>
      </c>
      <c r="BO77" s="86" t="str">
        <f>IF($DG77="","",$DG77)</f>
        <v/>
      </c>
      <c r="BP77" s="86" t="str">
        <f t="shared" si="110"/>
        <v/>
      </c>
      <c r="BQ77" s="86" t="str">
        <f>IF($ES77="","",$ES77)</f>
        <v/>
      </c>
      <c r="BR77" s="86" t="str">
        <f t="shared" si="111"/>
        <v/>
      </c>
      <c r="BS77" s="87"/>
      <c r="BT77" s="276" t="str">
        <f>IF(COUNT($BU77:$CF77)=0,"",COUNTIF($BU77:$CF77,"&lt;5"))</f>
        <v/>
      </c>
      <c r="BU77" s="238" t="str">
        <f>$H77</f>
        <v/>
      </c>
      <c r="BV77" s="238" t="str">
        <f>$L77</f>
        <v/>
      </c>
      <c r="BW77" s="238" t="str">
        <f>$P77</f>
        <v/>
      </c>
      <c r="BX77" s="238" t="str">
        <f>$T77</f>
        <v/>
      </c>
      <c r="BY77" s="238" t="str">
        <f>$X77</f>
        <v/>
      </c>
      <c r="BZ77" s="238" t="str">
        <f>$AB77</f>
        <v/>
      </c>
      <c r="CA77" s="238" t="str">
        <f>$AF77</f>
        <v/>
      </c>
      <c r="CB77" s="238" t="str">
        <f>$AK77</f>
        <v/>
      </c>
      <c r="CC77" s="238" t="str">
        <f>$AO77</f>
        <v/>
      </c>
      <c r="CD77" s="238" t="str">
        <f>$AS77</f>
        <v/>
      </c>
      <c r="CE77" s="238" t="str">
        <f>$AW77</f>
        <v/>
      </c>
      <c r="CF77" s="238" t="str">
        <f>$BA77</f>
        <v/>
      </c>
      <c r="CG77" s="239" t="str">
        <f>IF(COUNT($CH77:$CS77)=0,"",COUNTIF($CH77:$CS77,"&lt;4"))</f>
        <v/>
      </c>
      <c r="CH77" s="238" t="str">
        <f>$I77</f>
        <v/>
      </c>
      <c r="CI77" s="238" t="str">
        <f>$M77</f>
        <v/>
      </c>
      <c r="CJ77" s="238" t="str">
        <f>$Q77</f>
        <v/>
      </c>
      <c r="CK77" s="238" t="str">
        <f>$U77</f>
        <v/>
      </c>
      <c r="CL77" s="238" t="str">
        <f>$Y77</f>
        <v/>
      </c>
      <c r="CM77" s="238" t="str">
        <f>$AC77</f>
        <v/>
      </c>
      <c r="CN77" s="238" t="str">
        <f>$AG77</f>
        <v/>
      </c>
      <c r="CO77" s="238" t="str">
        <f>$AK77</f>
        <v/>
      </c>
      <c r="CP77" s="238" t="str">
        <f>$AO77</f>
        <v/>
      </c>
      <c r="CQ77" s="238" t="str">
        <f>$AS77</f>
        <v/>
      </c>
      <c r="CR77" s="238" t="str">
        <f>$AW77</f>
        <v/>
      </c>
      <c r="CS77" s="238" t="str">
        <f>$BA77</f>
        <v/>
      </c>
      <c r="CT77" s="240" t="str">
        <f>IF(COUNT($CH77:$CS77)=0,"",ROUND(SUMPRODUCT($CH77:$CS77,$CH$7:$CS$7)/(SUM($CH$7:$CS$7)-SUMIF($CH77:$CS77,"",$CH$7:$CS$7)),2))</f>
        <v/>
      </c>
      <c r="CU77" s="241" t="str">
        <f>IF($CH77&lt;4,"",$CH77)</f>
        <v/>
      </c>
      <c r="CV77" s="241" t="str">
        <f>IF($CI77&lt;4,"",$CI77)</f>
        <v/>
      </c>
      <c r="CW77" s="241" t="str">
        <f>IF($CJ77&lt;4,"",$CJ77)</f>
        <v/>
      </c>
      <c r="CX77" s="241" t="str">
        <f>IF($CK77&lt;4,"",$CK77)</f>
        <v/>
      </c>
      <c r="CY77" s="241" t="str">
        <f>IF($CL77&lt;4,"",$CL77)</f>
        <v/>
      </c>
      <c r="CZ77" s="241" t="str">
        <f>IF($CM77&lt;4,"",$CM77)</f>
        <v/>
      </c>
      <c r="DA77" s="241" t="str">
        <f>IF($CN77&lt;4,"",$CN77)</f>
        <v/>
      </c>
      <c r="DB77" s="241" t="str">
        <f>IF($CO77&lt;4,"",$CO77)</f>
        <v/>
      </c>
      <c r="DC77" s="241" t="str">
        <f>IF($CP77&lt;4,"",$CP77)</f>
        <v/>
      </c>
      <c r="DD77" s="241" t="str">
        <f>IF($CQ77&lt;4,"",$CQ77)</f>
        <v/>
      </c>
      <c r="DE77" s="241" t="str">
        <f>IF($CR77&lt;4,"",$CR77)</f>
        <v/>
      </c>
      <c r="DF77" s="241" t="str">
        <f>IF($CS77&lt;4,"",$CS77)</f>
        <v/>
      </c>
      <c r="DG77" s="242" t="str">
        <f t="shared" si="112"/>
        <v/>
      </c>
      <c r="DH77" s="82" t="str">
        <f>IF($K77="","",$K77)</f>
        <v/>
      </c>
      <c r="DI77" s="82" t="str">
        <f>IF($O77="","",$O77)</f>
        <v/>
      </c>
      <c r="DJ77" s="82" t="str">
        <f>IF($S77="","",$S77)</f>
        <v/>
      </c>
      <c r="DK77" s="82" t="str">
        <f>IF($W77="","",$W77)</f>
        <v/>
      </c>
      <c r="DL77" s="82" t="str">
        <f>IF($AA77="","",$AA77)</f>
        <v/>
      </c>
      <c r="DM77" s="82" t="str">
        <f>IF($AE77="","",$AE77)</f>
        <v/>
      </c>
      <c r="DN77" s="82" t="str">
        <f>IF($AI77="","",$AI77)</f>
        <v/>
      </c>
      <c r="DO77" s="82" t="str">
        <f>IF($AM77="","",$AM77)</f>
        <v/>
      </c>
      <c r="DP77" s="82" t="str">
        <f>IF($AQ77="","",$AQ77)</f>
        <v/>
      </c>
      <c r="DQ77" s="82" t="str">
        <f>IF($AU77="","",$AU77)</f>
        <v/>
      </c>
      <c r="DR77" s="82" t="str">
        <f>IF($AY77="","",$AY77)</f>
        <v/>
      </c>
      <c r="DS77" s="253" t="str">
        <f>IF($BC77="","",$BC77)</f>
        <v/>
      </c>
      <c r="DT77" s="250" t="str">
        <f>IF($H77&gt;=$J77,$I77,$K77)</f>
        <v/>
      </c>
      <c r="DU77" s="238" t="str">
        <f>IF($L77&gt;=$N77,$M77,$O77)</f>
        <v/>
      </c>
      <c r="DV77" s="238" t="str">
        <f>IF($P77&gt;=$R77,$Q77,$S77)</f>
        <v/>
      </c>
      <c r="DW77" s="238" t="str">
        <f>IF($T77&gt;=$V77,$U77,$W77)</f>
        <v/>
      </c>
      <c r="DX77" s="238" t="str">
        <f>IF($X77&gt;=$Z77,$Y77,$AA77)</f>
        <v/>
      </c>
      <c r="DY77" s="238" t="str">
        <f>IF($AB77&gt;=$AD77,$AC77,$AE77)</f>
        <v/>
      </c>
      <c r="DZ77" s="238" t="str">
        <f>IF($AF77&gt;=$AH77,$AG77,$AI77)</f>
        <v/>
      </c>
      <c r="EA77" s="238" t="str">
        <f>IF($AJ77&gt;=$AL77,$AK77,$AM77)</f>
        <v/>
      </c>
      <c r="EB77" s="238" t="str">
        <f>IF($AN77&gt;=$AP77,$AO77,$AQ77)</f>
        <v/>
      </c>
      <c r="EC77" s="238" t="str">
        <f>IF($AR77&gt;=$AT77,$AS77,$AU77)</f>
        <v/>
      </c>
      <c r="ED77" s="238" t="str">
        <f>IF($AV77&gt;=$AX77,$AW77,$AY77)</f>
        <v/>
      </c>
      <c r="EE77" s="238" t="str">
        <f>IF($AZ77&gt;=$BB77,$BA77,$BC77)</f>
        <v/>
      </c>
      <c r="EF77" s="255" t="str">
        <f>IF(COUNT($DH77:$DS77)=0,"",ROUND(SUMPRODUCT($DT77:$EE77,$DT$7:$EE$7)/(SUM($DT$7:$EE$7)-SUMIF($DT77:$EE77,"",$DT$7:$EE$7)),2))</f>
        <v/>
      </c>
      <c r="EG77" s="257" t="str">
        <f>IF($DT77&lt;4,"",$DT77)</f>
        <v/>
      </c>
      <c r="EH77" s="257" t="str">
        <f>IF($DU77&lt;4,"",$DU77)</f>
        <v/>
      </c>
      <c r="EI77" s="257" t="str">
        <f>IF($DV77&lt;4,"",$DV77)</f>
        <v/>
      </c>
      <c r="EJ77" s="257" t="str">
        <f>IF($DW77&lt;4,"",$DW77)</f>
        <v/>
      </c>
      <c r="EK77" s="257" t="str">
        <f>IF($DX77&lt;4,"",$DX77)</f>
        <v/>
      </c>
      <c r="EL77" s="257" t="str">
        <f>IF($DY77&lt;4,"",$DY77)</f>
        <v/>
      </c>
      <c r="EM77" s="257" t="str">
        <f>IF($DZ77&lt;4,"",$DZ77)</f>
        <v/>
      </c>
      <c r="EN77" s="257" t="str">
        <f>IF($EA77&lt;4,"",$EA77)</f>
        <v/>
      </c>
      <c r="EO77" s="257" t="str">
        <f>IF($EB77&lt;4,"",$EB77)</f>
        <v/>
      </c>
      <c r="EP77" s="257" t="str">
        <f>IF($EC77&lt;4,"",$EC77)</f>
        <v/>
      </c>
      <c r="EQ77" s="257" t="str">
        <f>IF($ED77&lt;4,"",$ED77)</f>
        <v/>
      </c>
      <c r="ER77" s="257" t="str">
        <f>IF($EE77&lt;4,"",$EE77)</f>
        <v/>
      </c>
      <c r="ES77" s="262" t="str">
        <f t="shared" si="113"/>
        <v/>
      </c>
      <c r="ET77" s="307" t="str">
        <f>IF($EF77="",$CT77,$EF77)</f>
        <v/>
      </c>
      <c r="EX77" s="89"/>
    </row>
    <row r="78" spans="1:154" s="90" customFormat="1" ht="30" customHeight="1">
      <c r="A78" s="272" t="str">
        <f>IF($B78="","",SUBTOTAL(3,$B$11:B78))</f>
        <v/>
      </c>
      <c r="B78" s="273"/>
      <c r="C78" s="76" t="str">
        <f>IF($B78="","",VLOOKUP($B78,'DS LOP HKI'!$B$2:$D$951,2,0))</f>
        <v/>
      </c>
      <c r="D78" s="77" t="str">
        <f>IF($B78="","",VLOOKUP($B78,'DS LOP HKI'!$B$2:$D$951,3,0))</f>
        <v/>
      </c>
      <c r="E78" s="78"/>
      <c r="F78" s="79"/>
      <c r="G78" s="80"/>
      <c r="H78" s="81" t="str">
        <f>IF(OR($H$6="",$H$7=""),"",IF($B78="","",IF(ISNA(VLOOKUP($B78,'LT01'!$B$11:$M$80,12,FALSE)),"",IF(VLOOKUP($B78,'LT01'!$B$11:$M$80,12,FALSE)="","",VLOOKUP($B78,'LT01'!$B$11:$M$80,12,FALSE)))))</f>
        <v/>
      </c>
      <c r="I78" s="82" t="str">
        <f>IF(OR($H$6="",$H$7=""),"",IF($B78="","",IF(ISNA(VLOOKUP($B78,'LT01'!$B$11:$N$80,13,FALSE)),"",VLOOKUP($B78,'LT01'!$B$11:$N$80,13,FALSE))))</f>
        <v/>
      </c>
      <c r="J78" s="83"/>
      <c r="K78" s="84" t="str">
        <f>IF(OR($H$6="",$H$7=""),"",IF($B78="","",IF(ISNA(VLOOKUP($B78,'LT01'!$B$11:$Q$80,16,FALSE)),"",IF(VLOOKUP($B78,'LT01'!$B$11:$Q$80,16,FALSE)="","",VLOOKUP($B78,'LT01'!$B$11:$Q$80,16,FALSE)))))</f>
        <v/>
      </c>
      <c r="L78" s="85" t="str">
        <f>IF(OR($L$6="",$L$7=""),"",IF($B78="","",IF(ISNA(VLOOKUP($B78,'LT02'!$B$11:$M$80,12,FALSE)),"",IF(VLOOKUP($B78,'LT02'!$B$11:$M$80,12,FALSE)="","",VLOOKUP($B78,'LT02'!$B$11:$M$80,12,FALSE)))))</f>
        <v/>
      </c>
      <c r="M78" s="82" t="str">
        <f>IF(OR($L$6="",$L$7=""),"",IF($B78="","",IF(ISNA(VLOOKUP($B78,'LT02'!$B$11:$N$80,13,FALSE)),"",VLOOKUP($B78,'LT02'!$B$11:$N$80,13,FALSE))))</f>
        <v/>
      </c>
      <c r="N78" s="83"/>
      <c r="O78" s="84" t="str">
        <f>IF(OR($L$6="",$L$7=""),"",IF($B78="","",IF(ISNA(VLOOKUP($B78,'LT02'!$B$11:$Q$80,16,FALSE)),"",VLOOKUP($B78,'LT02'!$B$11:$Q$80,16,FALSE))))</f>
        <v/>
      </c>
      <c r="P78" s="85" t="str">
        <f>IF(OR($P$6="",$P$7=""),"",IF($B78="","",IF(ISNA(VLOOKUP($B78,'LT03'!$B$11:$M$80,12,FALSE)),"",IF(VLOOKUP($B78,'LT03'!$B$11:$M$80,12,FALSE)="","",VLOOKUP($B78,'LT03'!$B$11:$M$80,12,FALSE)))))</f>
        <v/>
      </c>
      <c r="Q78" s="82" t="str">
        <f>IF(OR($P$6="",$P$7=""),"",IF($B78="","",IF(ISNA(VLOOKUP($B78,'LT03'!$B$11:$N$80,13,FALSE)),"",VLOOKUP($B78,'LT03'!$B$11:$N$80,13,FALSE))))</f>
        <v/>
      </c>
      <c r="R78" s="83"/>
      <c r="S78" s="84" t="str">
        <f>IF(OR($P$6="",$P$7=""),"",IF($B78="","",IF(ISNA(VLOOKUP($B78,'LT03'!$B$11:$Q$80,16,FALSE)),"",VLOOKUP($B78,'LT03'!$B$11:$Q$80,16,FALSE))))</f>
        <v/>
      </c>
      <c r="T78" s="85" t="str">
        <f>IF(OR($T$6="",$T$7=""),"",IF($B78="","",IF(ISNA(VLOOKUP($B78,'LT04'!$B$11:$M$80,12,FALSE)),"",IF(VLOOKUP($B78,'LT04'!$B$11:$M$80,12,FALSE)="","",VLOOKUP($B78,'LT04'!$B$11:$M$80,12,FALSE)))))</f>
        <v/>
      </c>
      <c r="U78" s="82" t="str">
        <f>IF(OR($T$6="",$T$7=""),"",IF($B78="","",IF(ISNA(VLOOKUP($B78,'LT04'!$B$11:$N$80,13,FALSE)),"",VLOOKUP($B78,'LT04'!$B$11:$N$80,13,FALSE))))</f>
        <v/>
      </c>
      <c r="V78" s="83"/>
      <c r="W78" s="84" t="str">
        <f>IF(OR($T$6="",$T$7=""),"",IF($B78="","",IF(ISNA(VLOOKUP($B78,'LT04'!$B$11:$Q$80,16,FALSE)),"",VLOOKUP($B78,'LT04'!$B$11:$Q$80,16,FALSE))))</f>
        <v/>
      </c>
      <c r="X78" s="85" t="str">
        <f>IF(OR($X$6="",$X$7=""),"",IF($B78="","",IF(ISNA(VLOOKUP($B78,'LT05'!$B$11:$M$80,12,FALSE)),"",IF(VLOOKUP($B78,'LT05'!$B$11:$M$80,12,FALSE)="","",VLOOKUP($B78,'LT05'!$B$11:$M$80,12,FALSE)))))</f>
        <v/>
      </c>
      <c r="Y78" s="82" t="str">
        <f>IF(OR($X$6="",$X$7=""),"",IF($B78="","",IF(ISNA(VLOOKUP($B78,'LT05'!$B$11:$N$80,13,FALSE)),"",VLOOKUP($B78,'LT05'!$B$11:$N$80,13,FALSE))))</f>
        <v/>
      </c>
      <c r="Z78" s="83"/>
      <c r="AA78" s="84" t="str">
        <f>IF(OR($X$6="",$X$7=""),"",IF($B78="","",IF(ISNA(VLOOKUP($B78,'LT05'!$B$11:$Q$80,16,FALSE)),"",VLOOKUP($B78,'LT05'!$B$11:$Q$80,16,FALSE))))</f>
        <v/>
      </c>
      <c r="AB78" s="85" t="str">
        <f>IF(OR($AB$6="",$AB$7=""),"",IF($B78="","",IF(ISNA(VLOOKUP($B78,'LT06'!$B$11:$M$80,12,FALSE)),"",IF(VLOOKUP($B78,'LT06'!$B$11:$M$80,12,FALSE)="","",VLOOKUP($B78,'LT06'!$B$11:$M$80,12,FALSE)))))</f>
        <v/>
      </c>
      <c r="AC78" s="82" t="str">
        <f>IF(OR($AB$6="",$AB$7=""),"",IF($B78="","",IF(ISNA(VLOOKUP($B78,'LT06'!$B$11:$N$80,13,FALSE)),"",VLOOKUP($B78,'LT06'!$B$11:$N$80,13,FALSE))))</f>
        <v/>
      </c>
      <c r="AD78" s="83"/>
      <c r="AE78" s="84" t="str">
        <f>IF(OR($AB$6="",$AB$7=""),"",IF($B78="","",IF(ISNA(VLOOKUP($B78,'LT06'!$B$11:$Q$80,16,FALSE)),"",VLOOKUP($B78,'LT06'!$B$11:$Q$80,16,FALSE))))</f>
        <v/>
      </c>
      <c r="AF78" s="85" t="str">
        <f>IF(OR($AF$6="",$AF$7=""),"",IF($B78="","",IF(ISNA(VLOOKUP($B78,'LT07'!$B$11:$M$80,12,FALSE)),"",IF(VLOOKUP($B78,'LT07'!$B$11:$M$80,12,FALSE)="","",VLOOKUP($B78,'LT07'!$B$11:$M$80,12,FALSE)))))</f>
        <v/>
      </c>
      <c r="AG78" s="82" t="str">
        <f>IF(OR($AF$6="",$AF$7=""),"",IF($B78="","",IF(ISNA(VLOOKUP($B78,'LT07'!$B$11:$N$80,13,FALSE)),"",VLOOKUP($B78,'LT07'!$B$11:$N$80,13,FALSE))))</f>
        <v/>
      </c>
      <c r="AH78" s="83"/>
      <c r="AI78" s="84" t="str">
        <f>IF(OR($AF$6="",$AF$7=""),"",IF($B78="","",IF(ISNA(VLOOKUP($B78,'LT07'!$B$11:$Q$80,16,FALSE)),"",VLOOKUP($B78,'LT07'!$B$11:$Q$80,16,FALSE))))</f>
        <v/>
      </c>
      <c r="AJ78" s="304"/>
      <c r="AK78" s="82" t="str">
        <f>IF(OR($AJ$6="",$AJ$7=""),"",IF($B78="","",IF(ISNA(VLOOKUP($B78,'DO AN'!$B$11:$L$80,11,FALSE)),"",IF(VLOOKUP($B78,'DO AN'!$B$11:$L$80,11,FALSE)="","",VLOOKUP($B78,'DO AN'!$B$11:$L$80,11,FALSE)))))</f>
        <v/>
      </c>
      <c r="AL78" s="83"/>
      <c r="AM78" s="451"/>
      <c r="AN78" s="83"/>
      <c r="AO78" s="82" t="str">
        <f>IF(OR($AN$6="",$AN$7=""),"",IF($B78="","",IF(ISNA(VLOOKUP($B78,'DO AN 2'!$B$11:$L$80,11,FALSE)),"",IF(VLOOKUP($B78,'DO AN 2'!$B$11:$L$80,11,FALSE)="","",VLOOKUP($B78,'DO AN 2'!$B$11:$L$80,11,FALSE)))))</f>
        <v/>
      </c>
      <c r="AP78" s="83"/>
      <c r="AQ78" s="83"/>
      <c r="AR78" s="454"/>
      <c r="AS78" s="82" t="str">
        <f>IF(OR($AR$6="",$AR$7=""),"",IF($B78="","",IF(ISNA(VLOOKUP($B78,'TH01'!$B$11:$O$80,14,FALSE)),"",VLOOKUP($B78,'TH01'!$B$11:$O$80,14,FALSE))))</f>
        <v/>
      </c>
      <c r="AT78" s="83"/>
      <c r="AU78" s="303"/>
      <c r="AV78" s="304"/>
      <c r="AW78" s="82" t="str">
        <f>IF(OR($AV$6="",$AV$7=""),"",IF($B78="","",IF(ISNA(VLOOKUP($B78,'TH02'!$B$11:$O$80,14,FALSE)),"",VLOOKUP($B78,'TH02'!$B$11:$O$80,14,FALSE))))</f>
        <v/>
      </c>
      <c r="AX78" s="83"/>
      <c r="AY78" s="303"/>
      <c r="AZ78" s="304"/>
      <c r="BA78" s="82" t="str">
        <f>IF(OR($AZ$6="",$AZ$7=""),"",IF($B78="","",IF(ISNA(VLOOKUP($B78,'TH03'!$B$11:$O$80,14,FALSE)),"",VLOOKUP($B78,'TH03'!$B$11:$O$80,14,FALSE))))</f>
        <v/>
      </c>
      <c r="BB78" s="83"/>
      <c r="BC78" s="303"/>
      <c r="BD78" s="86" t="str">
        <f>$CT78</f>
        <v/>
      </c>
      <c r="BE78" s="86" t="str">
        <f>$EF78</f>
        <v/>
      </c>
      <c r="BF78" s="87"/>
      <c r="BG78" s="88" t="str">
        <f t="shared" si="103"/>
        <v/>
      </c>
      <c r="BH78" s="88" t="str">
        <f t="shared" si="104"/>
        <v/>
      </c>
      <c r="BI78" s="87"/>
      <c r="BJ78" s="86" t="str">
        <f t="shared" si="105"/>
        <v/>
      </c>
      <c r="BK78" s="265" t="str">
        <f t="shared" si="106"/>
        <v/>
      </c>
      <c r="BL78" s="88" t="str">
        <f t="shared" si="107"/>
        <v/>
      </c>
      <c r="BM78" s="88" t="str">
        <f t="shared" si="108"/>
        <v/>
      </c>
      <c r="BN78" s="88" t="str">
        <f t="shared" si="109"/>
        <v/>
      </c>
      <c r="BO78" s="86" t="str">
        <f>IF($DG78="","",$DG78)</f>
        <v/>
      </c>
      <c r="BP78" s="86" t="str">
        <f t="shared" si="110"/>
        <v/>
      </c>
      <c r="BQ78" s="86" t="str">
        <f>IF($ES78="","",$ES78)</f>
        <v/>
      </c>
      <c r="BR78" s="86" t="str">
        <f t="shared" si="111"/>
        <v/>
      </c>
      <c r="BS78" s="87"/>
      <c r="BT78" s="276" t="str">
        <f>IF(COUNT($BU78:$CF78)=0,"",COUNTIF($BU78:$CF78,"&lt;5"))</f>
        <v/>
      </c>
      <c r="BU78" s="238" t="str">
        <f>$H78</f>
        <v/>
      </c>
      <c r="BV78" s="238" t="str">
        <f>$L78</f>
        <v/>
      </c>
      <c r="BW78" s="238" t="str">
        <f>$P78</f>
        <v/>
      </c>
      <c r="BX78" s="238" t="str">
        <f>$T78</f>
        <v/>
      </c>
      <c r="BY78" s="238" t="str">
        <f>$X78</f>
        <v/>
      </c>
      <c r="BZ78" s="238" t="str">
        <f>$AB78</f>
        <v/>
      </c>
      <c r="CA78" s="238" t="str">
        <f>$AF78</f>
        <v/>
      </c>
      <c r="CB78" s="238" t="str">
        <f>$AK78</f>
        <v/>
      </c>
      <c r="CC78" s="238" t="str">
        <f>$AO78</f>
        <v/>
      </c>
      <c r="CD78" s="238" t="str">
        <f>$AS78</f>
        <v/>
      </c>
      <c r="CE78" s="238" t="str">
        <f>$AW78</f>
        <v/>
      </c>
      <c r="CF78" s="238" t="str">
        <f>$BA78</f>
        <v/>
      </c>
      <c r="CG78" s="239" t="str">
        <f>IF(COUNT($CH78:$CS78)=0,"",COUNTIF($CH78:$CS78,"&lt;4"))</f>
        <v/>
      </c>
      <c r="CH78" s="238" t="str">
        <f>$I78</f>
        <v/>
      </c>
      <c r="CI78" s="238" t="str">
        <f>$M78</f>
        <v/>
      </c>
      <c r="CJ78" s="238" t="str">
        <f>$Q78</f>
        <v/>
      </c>
      <c r="CK78" s="238" t="str">
        <f>$U78</f>
        <v/>
      </c>
      <c r="CL78" s="238" t="str">
        <f>$Y78</f>
        <v/>
      </c>
      <c r="CM78" s="238" t="str">
        <f>$AC78</f>
        <v/>
      </c>
      <c r="CN78" s="238" t="str">
        <f>$AG78</f>
        <v/>
      </c>
      <c r="CO78" s="238" t="str">
        <f>$AK78</f>
        <v/>
      </c>
      <c r="CP78" s="238" t="str">
        <f>$AO78</f>
        <v/>
      </c>
      <c r="CQ78" s="238" t="str">
        <f>$AS78</f>
        <v/>
      </c>
      <c r="CR78" s="238" t="str">
        <f>$AW78</f>
        <v/>
      </c>
      <c r="CS78" s="238" t="str">
        <f>$BA78</f>
        <v/>
      </c>
      <c r="CT78" s="240" t="str">
        <f>IF(COUNT($CH78:$CS78)=0,"",ROUND(SUMPRODUCT($CH78:$CS78,$CH$7:$CS$7)/(SUM($CH$7:$CS$7)-SUMIF($CH78:$CS78,"",$CH$7:$CS$7)),2))</f>
        <v/>
      </c>
      <c r="CU78" s="241" t="str">
        <f>IF($CH78&lt;4,"",$CH78)</f>
        <v/>
      </c>
      <c r="CV78" s="241" t="str">
        <f>IF($CI78&lt;4,"",$CI78)</f>
        <v/>
      </c>
      <c r="CW78" s="241" t="str">
        <f>IF($CJ78&lt;4,"",$CJ78)</f>
        <v/>
      </c>
      <c r="CX78" s="241" t="str">
        <f>IF($CK78&lt;4,"",$CK78)</f>
        <v/>
      </c>
      <c r="CY78" s="241" t="str">
        <f>IF($CL78&lt;4,"",$CL78)</f>
        <v/>
      </c>
      <c r="CZ78" s="241" t="str">
        <f>IF($CM78&lt;4,"",$CM78)</f>
        <v/>
      </c>
      <c r="DA78" s="241" t="str">
        <f>IF($CN78&lt;4,"",$CN78)</f>
        <v/>
      </c>
      <c r="DB78" s="241" t="str">
        <f>IF($CO78&lt;4,"",$CO78)</f>
        <v/>
      </c>
      <c r="DC78" s="241" t="str">
        <f>IF($CP78&lt;4,"",$CP78)</f>
        <v/>
      </c>
      <c r="DD78" s="241" t="str">
        <f>IF($CQ78&lt;4,"",$CQ78)</f>
        <v/>
      </c>
      <c r="DE78" s="241" t="str">
        <f>IF($CR78&lt;4,"",$CR78)</f>
        <v/>
      </c>
      <c r="DF78" s="241" t="str">
        <f>IF($CS78&lt;4,"",$CS78)</f>
        <v/>
      </c>
      <c r="DG78" s="242" t="str">
        <f t="shared" si="112"/>
        <v/>
      </c>
      <c r="DH78" s="82" t="str">
        <f>IF($K78="","",$K78)</f>
        <v/>
      </c>
      <c r="DI78" s="82" t="str">
        <f>IF($O78="","",$O78)</f>
        <v/>
      </c>
      <c r="DJ78" s="82" t="str">
        <f>IF($S78="","",$S78)</f>
        <v/>
      </c>
      <c r="DK78" s="82" t="str">
        <f>IF($W78="","",$W78)</f>
        <v/>
      </c>
      <c r="DL78" s="82" t="str">
        <f>IF($AA78="","",$AA78)</f>
        <v/>
      </c>
      <c r="DM78" s="82" t="str">
        <f>IF($AE78="","",$AE78)</f>
        <v/>
      </c>
      <c r="DN78" s="82" t="str">
        <f>IF($AI78="","",$AI78)</f>
        <v/>
      </c>
      <c r="DO78" s="82" t="str">
        <f>IF($AM78="","",$AM78)</f>
        <v/>
      </c>
      <c r="DP78" s="82" t="str">
        <f>IF($AQ78="","",$AQ78)</f>
        <v/>
      </c>
      <c r="DQ78" s="82" t="str">
        <f>IF($AU78="","",$AU78)</f>
        <v/>
      </c>
      <c r="DR78" s="82" t="str">
        <f>IF($AY78="","",$AY78)</f>
        <v/>
      </c>
      <c r="DS78" s="253" t="str">
        <f>IF($BC78="","",$BC78)</f>
        <v/>
      </c>
      <c r="DT78" s="250" t="str">
        <f>IF($H78&gt;=$J78,$I78,$K78)</f>
        <v/>
      </c>
      <c r="DU78" s="238" t="str">
        <f>IF($L78&gt;=$N78,$M78,$O78)</f>
        <v/>
      </c>
      <c r="DV78" s="238" t="str">
        <f>IF($P78&gt;=$R78,$Q78,$S78)</f>
        <v/>
      </c>
      <c r="DW78" s="238" t="str">
        <f>IF($T78&gt;=$V78,$U78,$W78)</f>
        <v/>
      </c>
      <c r="DX78" s="238" t="str">
        <f>IF($X78&gt;=$Z78,$Y78,$AA78)</f>
        <v/>
      </c>
      <c r="DY78" s="238" t="str">
        <f>IF($AB78&gt;=$AD78,$AC78,$AE78)</f>
        <v/>
      </c>
      <c r="DZ78" s="238" t="str">
        <f>IF($AF78&gt;=$AH78,$AG78,$AI78)</f>
        <v/>
      </c>
      <c r="EA78" s="238" t="str">
        <f>IF($AJ78&gt;=$AL78,$AK78,$AM78)</f>
        <v/>
      </c>
      <c r="EB78" s="238" t="str">
        <f>IF($AN78&gt;=$AP78,$AO78,$AQ78)</f>
        <v/>
      </c>
      <c r="EC78" s="238" t="str">
        <f>IF($AR78&gt;=$AT78,$AS78,$AU78)</f>
        <v/>
      </c>
      <c r="ED78" s="238" t="str">
        <f>IF($AV78&gt;=$AX78,$AW78,$AY78)</f>
        <v/>
      </c>
      <c r="EE78" s="238" t="str">
        <f>IF($AZ78&gt;=$BB78,$BA78,$BC78)</f>
        <v/>
      </c>
      <c r="EF78" s="255" t="str">
        <f>IF(COUNT($DH78:$DS78)=0,"",ROUND(SUMPRODUCT($DT78:$EE78,$DT$7:$EE$7)/(SUM($DT$7:$EE$7)-SUMIF($DT78:$EE78,"",$DT$7:$EE$7)),2))</f>
        <v/>
      </c>
      <c r="EG78" s="257" t="str">
        <f>IF($DT78&lt;4,"",$DT78)</f>
        <v/>
      </c>
      <c r="EH78" s="257" t="str">
        <f>IF($DU78&lt;4,"",$DU78)</f>
        <v/>
      </c>
      <c r="EI78" s="257" t="str">
        <f>IF($DV78&lt;4,"",$DV78)</f>
        <v/>
      </c>
      <c r="EJ78" s="257" t="str">
        <f>IF($DW78&lt;4,"",$DW78)</f>
        <v/>
      </c>
      <c r="EK78" s="257" t="str">
        <f>IF($DX78&lt;4,"",$DX78)</f>
        <v/>
      </c>
      <c r="EL78" s="257" t="str">
        <f>IF($DY78&lt;4,"",$DY78)</f>
        <v/>
      </c>
      <c r="EM78" s="257" t="str">
        <f>IF($DZ78&lt;4,"",$DZ78)</f>
        <v/>
      </c>
      <c r="EN78" s="257" t="str">
        <f>IF($EA78&lt;4,"",$EA78)</f>
        <v/>
      </c>
      <c r="EO78" s="257" t="str">
        <f>IF($EB78&lt;4,"",$EB78)</f>
        <v/>
      </c>
      <c r="EP78" s="257" t="str">
        <f>IF($EC78&lt;4,"",$EC78)</f>
        <v/>
      </c>
      <c r="EQ78" s="257" t="str">
        <f>IF($ED78&lt;4,"",$ED78)</f>
        <v/>
      </c>
      <c r="ER78" s="257" t="str">
        <f>IF($EE78&lt;4,"",$EE78)</f>
        <v/>
      </c>
      <c r="ES78" s="262" t="str">
        <f t="shared" si="113"/>
        <v/>
      </c>
      <c r="ET78" s="307" t="str">
        <f>IF($EF78="",$CT78,$EF78)</f>
        <v/>
      </c>
      <c r="EX78" s="89"/>
    </row>
    <row r="79" spans="1:154" s="90" customFormat="1" ht="30" customHeight="1">
      <c r="A79" s="272" t="str">
        <f>IF($B79="","",SUBTOTAL(3,$B$11:B79))</f>
        <v/>
      </c>
      <c r="B79" s="295"/>
      <c r="C79" s="76" t="str">
        <f>IF($B79="","",VLOOKUP($B79,'DS LOP HKI'!$B$2:$D$951,2,0))</f>
        <v/>
      </c>
      <c r="D79" s="77" t="str">
        <f>IF($B79="","",VLOOKUP($B79,'DS LOP HKI'!$B$2:$D$951,3,0))</f>
        <v/>
      </c>
      <c r="E79" s="78"/>
      <c r="F79" s="79"/>
      <c r="G79" s="80"/>
      <c r="H79" s="81" t="str">
        <f>IF(OR($H$6="",$H$7=""),"",IF($B79="","",IF(ISNA(VLOOKUP($B79,'LT01'!$B$11:$M$80,12,FALSE)),"",IF(VLOOKUP($B79,'LT01'!$B$11:$M$80,12,FALSE)="","",VLOOKUP($B79,'LT01'!$B$11:$M$80,12,FALSE)))))</f>
        <v/>
      </c>
      <c r="I79" s="82" t="str">
        <f>IF(OR($H$6="",$H$7=""),"",IF($B79="","",IF(ISNA(VLOOKUP($B79,'LT01'!$B$11:$N$80,13,FALSE)),"",VLOOKUP($B79,'LT01'!$B$11:$N$80,13,FALSE))))</f>
        <v/>
      </c>
      <c r="J79" s="83"/>
      <c r="K79" s="84" t="str">
        <f>IF(OR($H$6="",$H$7=""),"",IF($B79="","",IF(ISNA(VLOOKUP($B79,'LT01'!$B$11:$Q$80,16,FALSE)),"",IF(VLOOKUP($B79,'LT01'!$B$11:$Q$80,16,FALSE)="","",VLOOKUP($B79,'LT01'!$B$11:$Q$80,16,FALSE)))))</f>
        <v/>
      </c>
      <c r="L79" s="85" t="str">
        <f>IF(OR($L$6="",$L$7=""),"",IF($B79="","",IF(ISNA(VLOOKUP($B79,'LT02'!$B$11:$M$80,12,FALSE)),"",IF(VLOOKUP($B79,'LT02'!$B$11:$M$80,12,FALSE)="","",VLOOKUP($B79,'LT02'!$B$11:$M$80,12,FALSE)))))</f>
        <v/>
      </c>
      <c r="M79" s="82" t="str">
        <f>IF(OR($L$6="",$L$7=""),"",IF($B79="","",IF(ISNA(VLOOKUP($B79,'LT02'!$B$11:$N$80,13,FALSE)),"",VLOOKUP($B79,'LT02'!$B$11:$N$80,13,FALSE))))</f>
        <v/>
      </c>
      <c r="N79" s="83"/>
      <c r="O79" s="84" t="str">
        <f>IF(OR($L$6="",$L$7=""),"",IF($B79="","",IF(ISNA(VLOOKUP($B79,'LT02'!$B$11:$Q$80,16,FALSE)),"",VLOOKUP($B79,'LT02'!$B$11:$Q$80,16,FALSE))))</f>
        <v/>
      </c>
      <c r="P79" s="85" t="str">
        <f>IF(OR($P$6="",$P$7=""),"",IF($B79="","",IF(ISNA(VLOOKUP($B79,'LT03'!$B$11:$M$80,12,FALSE)),"",IF(VLOOKUP($B79,'LT03'!$B$11:$M$80,12,FALSE)="","",VLOOKUP($B79,'LT03'!$B$11:$M$80,12,FALSE)))))</f>
        <v/>
      </c>
      <c r="Q79" s="82" t="str">
        <f>IF(OR($P$6="",$P$7=""),"",IF($B79="","",IF(ISNA(VLOOKUP($B79,'LT03'!$B$11:$N$80,13,FALSE)),"",VLOOKUP($B79,'LT03'!$B$11:$N$80,13,FALSE))))</f>
        <v/>
      </c>
      <c r="R79" s="83"/>
      <c r="S79" s="84" t="str">
        <f>IF(OR($P$6="",$P$7=""),"",IF($B79="","",IF(ISNA(VLOOKUP($B79,'LT03'!$B$11:$Q$80,16,FALSE)),"",VLOOKUP($B79,'LT03'!$B$11:$Q$80,16,FALSE))))</f>
        <v/>
      </c>
      <c r="T79" s="85" t="str">
        <f>IF(OR($T$6="",$T$7=""),"",IF($B79="","",IF(ISNA(VLOOKUP($B79,'LT04'!$B$11:$M$80,12,FALSE)),"",IF(VLOOKUP($B79,'LT04'!$B$11:$M$80,12,FALSE)="","",VLOOKUP($B79,'LT04'!$B$11:$M$80,12,FALSE)))))</f>
        <v/>
      </c>
      <c r="U79" s="82" t="str">
        <f>IF(OR($T$6="",$T$7=""),"",IF($B79="","",IF(ISNA(VLOOKUP($B79,'LT04'!$B$11:$N$80,13,FALSE)),"",VLOOKUP($B79,'LT04'!$B$11:$N$80,13,FALSE))))</f>
        <v/>
      </c>
      <c r="V79" s="83"/>
      <c r="W79" s="84" t="str">
        <f>IF(OR($T$6="",$T$7=""),"",IF($B79="","",IF(ISNA(VLOOKUP($B79,'LT04'!$B$11:$Q$80,16,FALSE)),"",VLOOKUP($B79,'LT04'!$B$11:$Q$80,16,FALSE))))</f>
        <v/>
      </c>
      <c r="X79" s="85" t="str">
        <f>IF(OR($X$6="",$X$7=""),"",IF($B79="","",IF(ISNA(VLOOKUP($B79,'LT05'!$B$11:$M$80,12,FALSE)),"",IF(VLOOKUP($B79,'LT05'!$B$11:$M$80,12,FALSE)="","",VLOOKUP($B79,'LT05'!$B$11:$M$80,12,FALSE)))))</f>
        <v/>
      </c>
      <c r="Y79" s="82" t="str">
        <f>IF(OR($X$6="",$X$7=""),"",IF($B79="","",IF(ISNA(VLOOKUP($B79,'LT05'!$B$11:$N$80,13,FALSE)),"",VLOOKUP($B79,'LT05'!$B$11:$N$80,13,FALSE))))</f>
        <v/>
      </c>
      <c r="Z79" s="83"/>
      <c r="AA79" s="84" t="str">
        <f>IF(OR($X$6="",$X$7=""),"",IF($B79="","",IF(ISNA(VLOOKUP($B79,'LT05'!$B$11:$Q$80,16,FALSE)),"",VLOOKUP($B79,'LT05'!$B$11:$Q$80,16,FALSE))))</f>
        <v/>
      </c>
      <c r="AB79" s="85" t="str">
        <f>IF(OR($AB$6="",$AB$7=""),"",IF($B79="","",IF(ISNA(VLOOKUP($B79,'LT06'!$B$11:$M$80,12,FALSE)),"",IF(VLOOKUP($B79,'LT06'!$B$11:$M$80,12,FALSE)="","",VLOOKUP($B79,'LT06'!$B$11:$M$80,12,FALSE)))))</f>
        <v/>
      </c>
      <c r="AC79" s="82" t="str">
        <f>IF(OR($AB$6="",$AB$7=""),"",IF($B79="","",IF(ISNA(VLOOKUP($B79,'LT06'!$B$11:$N$80,13,FALSE)),"",VLOOKUP($B79,'LT06'!$B$11:$N$80,13,FALSE))))</f>
        <v/>
      </c>
      <c r="AD79" s="83"/>
      <c r="AE79" s="84" t="str">
        <f>IF(OR($AB$6="",$AB$7=""),"",IF($B79="","",IF(ISNA(VLOOKUP($B79,'LT06'!$B$11:$Q$80,16,FALSE)),"",VLOOKUP($B79,'LT06'!$B$11:$Q$80,16,FALSE))))</f>
        <v/>
      </c>
      <c r="AF79" s="85" t="str">
        <f>IF(OR($AF$6="",$AF$7=""),"",IF($B79="","",IF(ISNA(VLOOKUP($B79,'LT07'!$B$11:$M$80,12,FALSE)),"",IF(VLOOKUP($B79,'LT07'!$B$11:$M$80,12,FALSE)="","",VLOOKUP($B79,'LT07'!$B$11:$M$80,12,FALSE)))))</f>
        <v/>
      </c>
      <c r="AG79" s="82" t="str">
        <f>IF(OR($AF$6="",$AF$7=""),"",IF($B79="","",IF(ISNA(VLOOKUP($B79,'LT07'!$B$11:$N$80,13,FALSE)),"",VLOOKUP($B79,'LT07'!$B$11:$N$80,13,FALSE))))</f>
        <v/>
      </c>
      <c r="AH79" s="83"/>
      <c r="AI79" s="84" t="str">
        <f>IF(OR($AF$6="",$AF$7=""),"",IF($B79="","",IF(ISNA(VLOOKUP($B79,'LT07'!$B$11:$Q$80,16,FALSE)),"",VLOOKUP($B79,'LT07'!$B$11:$Q$80,16,FALSE))))</f>
        <v/>
      </c>
      <c r="AJ79" s="304"/>
      <c r="AK79" s="82" t="str">
        <f>IF(OR($AJ$6="",$AJ$7=""),"",IF($B79="","",IF(ISNA(VLOOKUP($B79,'DO AN'!$B$11:$L$80,11,FALSE)),"",IF(VLOOKUP($B79,'DO AN'!$B$11:$L$80,11,FALSE)="","",VLOOKUP($B79,'DO AN'!$B$11:$L$80,11,FALSE)))))</f>
        <v/>
      </c>
      <c r="AL79" s="83"/>
      <c r="AM79" s="451"/>
      <c r="AN79" s="83"/>
      <c r="AO79" s="82" t="str">
        <f>IF(OR($AN$6="",$AN$7=""),"",IF($B79="","",IF(ISNA(VLOOKUP($B79,'DO AN 2'!$B$11:$L$80,11,FALSE)),"",IF(VLOOKUP($B79,'DO AN 2'!$B$11:$L$80,11,FALSE)="","",VLOOKUP($B79,'DO AN 2'!$B$11:$L$80,11,FALSE)))))</f>
        <v/>
      </c>
      <c r="AP79" s="83"/>
      <c r="AQ79" s="83"/>
      <c r="AR79" s="454"/>
      <c r="AS79" s="82" t="str">
        <f>IF(OR($AR$6="",$AR$7=""),"",IF($B79="","",IF(ISNA(VLOOKUP($B79,'TH01'!$B$11:$O$80,14,FALSE)),"",VLOOKUP($B79,'TH01'!$B$11:$O$80,14,FALSE))))</f>
        <v/>
      </c>
      <c r="AT79" s="83"/>
      <c r="AU79" s="303"/>
      <c r="AV79" s="304"/>
      <c r="AW79" s="82" t="str">
        <f>IF(OR($AV$6="",$AV$7=""),"",IF($B79="","",IF(ISNA(VLOOKUP($B79,'TH02'!$B$11:$O$80,14,FALSE)),"",VLOOKUP($B79,'TH02'!$B$11:$O$80,14,FALSE))))</f>
        <v/>
      </c>
      <c r="AX79" s="83"/>
      <c r="AY79" s="303"/>
      <c r="AZ79" s="304"/>
      <c r="BA79" s="82" t="str">
        <f>IF(OR($AZ$6="",$AZ$7=""),"",IF($B79="","",IF(ISNA(VLOOKUP($B79,'TH03'!$B$11:$O$80,14,FALSE)),"",VLOOKUP($B79,'TH03'!$B$11:$O$80,14,FALSE))))</f>
        <v/>
      </c>
      <c r="BB79" s="83"/>
      <c r="BC79" s="303"/>
      <c r="BD79" s="86" t="str">
        <f>$CT79</f>
        <v/>
      </c>
      <c r="BE79" s="86" t="str">
        <f>$EF79</f>
        <v/>
      </c>
      <c r="BF79" s="87"/>
      <c r="BG79" s="88" t="str">
        <f t="shared" si="103"/>
        <v/>
      </c>
      <c r="BH79" s="88" t="str">
        <f t="shared" si="104"/>
        <v/>
      </c>
      <c r="BI79" s="87"/>
      <c r="BJ79" s="86" t="str">
        <f t="shared" si="105"/>
        <v/>
      </c>
      <c r="BK79" s="265" t="str">
        <f t="shared" si="106"/>
        <v/>
      </c>
      <c r="BL79" s="88" t="str">
        <f t="shared" si="107"/>
        <v/>
      </c>
      <c r="BM79" s="88" t="str">
        <f t="shared" si="108"/>
        <v/>
      </c>
      <c r="BN79" s="88" t="str">
        <f t="shared" si="109"/>
        <v/>
      </c>
      <c r="BO79" s="86" t="str">
        <f>IF($DG79="","",$DG79)</f>
        <v/>
      </c>
      <c r="BP79" s="86" t="str">
        <f t="shared" si="110"/>
        <v/>
      </c>
      <c r="BQ79" s="86" t="str">
        <f>IF($ES79="","",$ES79)</f>
        <v/>
      </c>
      <c r="BR79" s="86" t="str">
        <f t="shared" si="111"/>
        <v/>
      </c>
      <c r="BS79" s="87"/>
      <c r="BT79" s="276" t="str">
        <f>IF(COUNT($BU79:$CF79)=0,"",COUNTIF($BU79:$CF79,"&lt;5"))</f>
        <v/>
      </c>
      <c r="BU79" s="238" t="str">
        <f>$H79</f>
        <v/>
      </c>
      <c r="BV79" s="238" t="str">
        <f>$L79</f>
        <v/>
      </c>
      <c r="BW79" s="238" t="str">
        <f>$P79</f>
        <v/>
      </c>
      <c r="BX79" s="238" t="str">
        <f>$T79</f>
        <v/>
      </c>
      <c r="BY79" s="238" t="str">
        <f>$X79</f>
        <v/>
      </c>
      <c r="BZ79" s="238" t="str">
        <f>$AB79</f>
        <v/>
      </c>
      <c r="CA79" s="238" t="str">
        <f>$AF79</f>
        <v/>
      </c>
      <c r="CB79" s="238" t="str">
        <f>$AK79</f>
        <v/>
      </c>
      <c r="CC79" s="238" t="str">
        <f>$AO79</f>
        <v/>
      </c>
      <c r="CD79" s="238" t="str">
        <f>$AS79</f>
        <v/>
      </c>
      <c r="CE79" s="238" t="str">
        <f>$AW79</f>
        <v/>
      </c>
      <c r="CF79" s="238" t="str">
        <f>$BA79</f>
        <v/>
      </c>
      <c r="CG79" s="239" t="str">
        <f>IF(COUNT($CH79:$CS79)=0,"",COUNTIF($CH79:$CS79,"&lt;4"))</f>
        <v/>
      </c>
      <c r="CH79" s="238" t="str">
        <f>$I79</f>
        <v/>
      </c>
      <c r="CI79" s="238" t="str">
        <f>$M79</f>
        <v/>
      </c>
      <c r="CJ79" s="238" t="str">
        <f>$Q79</f>
        <v/>
      </c>
      <c r="CK79" s="238" t="str">
        <f>$U79</f>
        <v/>
      </c>
      <c r="CL79" s="238" t="str">
        <f>$Y79</f>
        <v/>
      </c>
      <c r="CM79" s="238" t="str">
        <f>$AC79</f>
        <v/>
      </c>
      <c r="CN79" s="238" t="str">
        <f>$AG79</f>
        <v/>
      </c>
      <c r="CO79" s="238" t="str">
        <f>$AK79</f>
        <v/>
      </c>
      <c r="CP79" s="238" t="str">
        <f>$AO79</f>
        <v/>
      </c>
      <c r="CQ79" s="238" t="str">
        <f>$AS79</f>
        <v/>
      </c>
      <c r="CR79" s="238" t="str">
        <f>$AW79</f>
        <v/>
      </c>
      <c r="CS79" s="238" t="str">
        <f>$BA79</f>
        <v/>
      </c>
      <c r="CT79" s="240" t="str">
        <f>IF(COUNT($CH79:$CS79)=0,"",ROUND(SUMPRODUCT($CH79:$CS79,$CH$7:$CS$7)/(SUM($CH$7:$CS$7)-SUMIF($CH79:$CS79,"",$CH$7:$CS$7)),2))</f>
        <v/>
      </c>
      <c r="CU79" s="241" t="str">
        <f>IF($CH79&lt;4,"",$CH79)</f>
        <v/>
      </c>
      <c r="CV79" s="241" t="str">
        <f>IF($CI79&lt;4,"",$CI79)</f>
        <v/>
      </c>
      <c r="CW79" s="241" t="str">
        <f>IF($CJ79&lt;4,"",$CJ79)</f>
        <v/>
      </c>
      <c r="CX79" s="241" t="str">
        <f>IF($CK79&lt;4,"",$CK79)</f>
        <v/>
      </c>
      <c r="CY79" s="241" t="str">
        <f>IF($CL79&lt;4,"",$CL79)</f>
        <v/>
      </c>
      <c r="CZ79" s="241" t="str">
        <f>IF($CM79&lt;4,"",$CM79)</f>
        <v/>
      </c>
      <c r="DA79" s="241" t="str">
        <f>IF($CN79&lt;4,"",$CN79)</f>
        <v/>
      </c>
      <c r="DB79" s="241" t="str">
        <f>IF($CO79&lt;4,"",$CO79)</f>
        <v/>
      </c>
      <c r="DC79" s="241" t="str">
        <f>IF($CP79&lt;4,"",$CP79)</f>
        <v/>
      </c>
      <c r="DD79" s="241" t="str">
        <f>IF($CQ79&lt;4,"",$CQ79)</f>
        <v/>
      </c>
      <c r="DE79" s="241" t="str">
        <f>IF($CR79&lt;4,"",$CR79)</f>
        <v/>
      </c>
      <c r="DF79" s="241" t="str">
        <f>IF($CS79&lt;4,"",$CS79)</f>
        <v/>
      </c>
      <c r="DG79" s="242" t="str">
        <f t="shared" si="112"/>
        <v/>
      </c>
      <c r="DH79" s="82" t="str">
        <f>IF($K79="","",$K79)</f>
        <v/>
      </c>
      <c r="DI79" s="82" t="str">
        <f>IF($O79="","",$O79)</f>
        <v/>
      </c>
      <c r="DJ79" s="82" t="str">
        <f>IF($S79="","",$S79)</f>
        <v/>
      </c>
      <c r="DK79" s="82" t="str">
        <f>IF($W79="","",$W79)</f>
        <v/>
      </c>
      <c r="DL79" s="82" t="str">
        <f>IF($AA79="","",$AA79)</f>
        <v/>
      </c>
      <c r="DM79" s="82" t="str">
        <f>IF($AE79="","",$AE79)</f>
        <v/>
      </c>
      <c r="DN79" s="82" t="str">
        <f>IF($AI79="","",$AI79)</f>
        <v/>
      </c>
      <c r="DO79" s="82" t="str">
        <f>IF($AM79="","",$AM79)</f>
        <v/>
      </c>
      <c r="DP79" s="82" t="str">
        <f>IF($AQ79="","",$AQ79)</f>
        <v/>
      </c>
      <c r="DQ79" s="82" t="str">
        <f>IF($AU79="","",$AU79)</f>
        <v/>
      </c>
      <c r="DR79" s="82" t="str">
        <f>IF($AY79="","",$AY79)</f>
        <v/>
      </c>
      <c r="DS79" s="253" t="str">
        <f>IF($BC79="","",$BC79)</f>
        <v/>
      </c>
      <c r="DT79" s="250" t="str">
        <f>IF($H79&gt;=$J79,$I79,$K79)</f>
        <v/>
      </c>
      <c r="DU79" s="238" t="str">
        <f>IF($L79&gt;=$N79,$M79,$O79)</f>
        <v/>
      </c>
      <c r="DV79" s="238" t="str">
        <f>IF($P79&gt;=$R79,$Q79,$S79)</f>
        <v/>
      </c>
      <c r="DW79" s="238" t="str">
        <f>IF($T79&gt;=$V79,$U79,$W79)</f>
        <v/>
      </c>
      <c r="DX79" s="238" t="str">
        <f>IF($X79&gt;=$Z79,$Y79,$AA79)</f>
        <v/>
      </c>
      <c r="DY79" s="238" t="str">
        <f>IF($AB79&gt;=$AD79,$AC79,$AE79)</f>
        <v/>
      </c>
      <c r="DZ79" s="238" t="str">
        <f>IF($AF79&gt;=$AH79,$AG79,$AI79)</f>
        <v/>
      </c>
      <c r="EA79" s="238" t="str">
        <f>IF($AJ79&gt;=$AL79,$AK79,$AM79)</f>
        <v/>
      </c>
      <c r="EB79" s="238" t="str">
        <f>IF($AN79&gt;=$AP79,$AO79,$AQ79)</f>
        <v/>
      </c>
      <c r="EC79" s="238" t="str">
        <f>IF($AR79&gt;=$AT79,$AS79,$AU79)</f>
        <v/>
      </c>
      <c r="ED79" s="238" t="str">
        <f>IF($AV79&gt;=$AX79,$AW79,$AY79)</f>
        <v/>
      </c>
      <c r="EE79" s="238" t="str">
        <f>IF($AZ79&gt;=$BB79,$BA79,$BC79)</f>
        <v/>
      </c>
      <c r="EF79" s="255" t="str">
        <f>IF(COUNT($DH79:$DS79)=0,"",ROUND(SUMPRODUCT($DT79:$EE79,$DT$7:$EE$7)/(SUM($DT$7:$EE$7)-SUMIF($DT79:$EE79,"",$DT$7:$EE$7)),2))</f>
        <v/>
      </c>
      <c r="EG79" s="257" t="str">
        <f>IF($DT79&lt;4,"",$DT79)</f>
        <v/>
      </c>
      <c r="EH79" s="257" t="str">
        <f>IF($DU79&lt;4,"",$DU79)</f>
        <v/>
      </c>
      <c r="EI79" s="257" t="str">
        <f>IF($DV79&lt;4,"",$DV79)</f>
        <v/>
      </c>
      <c r="EJ79" s="257" t="str">
        <f>IF($DW79&lt;4,"",$DW79)</f>
        <v/>
      </c>
      <c r="EK79" s="257" t="str">
        <f>IF($DX79&lt;4,"",$DX79)</f>
        <v/>
      </c>
      <c r="EL79" s="257" t="str">
        <f>IF($DY79&lt;4,"",$DY79)</f>
        <v/>
      </c>
      <c r="EM79" s="257" t="str">
        <f>IF($DZ79&lt;4,"",$DZ79)</f>
        <v/>
      </c>
      <c r="EN79" s="257" t="str">
        <f>IF($EA79&lt;4,"",$EA79)</f>
        <v/>
      </c>
      <c r="EO79" s="257" t="str">
        <f>IF($EB79&lt;4,"",$EB79)</f>
        <v/>
      </c>
      <c r="EP79" s="257" t="str">
        <f>IF($EC79&lt;4,"",$EC79)</f>
        <v/>
      </c>
      <c r="EQ79" s="257" t="str">
        <f>IF($ED79&lt;4,"",$ED79)</f>
        <v/>
      </c>
      <c r="ER79" s="257" t="str">
        <f>IF($EE79&lt;4,"",$EE79)</f>
        <v/>
      </c>
      <c r="ES79" s="262" t="str">
        <f t="shared" si="113"/>
        <v/>
      </c>
      <c r="ET79" s="307" t="str">
        <f>IF($EF79="",$CT79,$EF79)</f>
        <v/>
      </c>
      <c r="EX79" s="89"/>
    </row>
    <row r="80" spans="1:154" s="90" customFormat="1" ht="30" customHeight="1" thickBot="1">
      <c r="A80" s="296" t="str">
        <f>IF($B80="","",SUBTOTAL(3,$B$11:B80))</f>
        <v/>
      </c>
      <c r="B80" s="274"/>
      <c r="C80" s="297" t="str">
        <f>IF($B80="","",VLOOKUP($B80,'DS LOP HKI'!$B$2:$D$951,2,0))</f>
        <v/>
      </c>
      <c r="D80" s="298" t="str">
        <f>IF($B80="","",VLOOKUP($B80,'DS LOP HKI'!$B$2:$D$951,3,0))</f>
        <v/>
      </c>
      <c r="E80" s="91"/>
      <c r="F80" s="92"/>
      <c r="G80" s="93"/>
      <c r="H80" s="299" t="str">
        <f>IF(OR($H$6="",$H$7=""),"",IF($B80="","",IF(ISNA(VLOOKUP($B80,'LT01'!$B$11:$M$80,12,FALSE)),"",IF(VLOOKUP($B80,'LT01'!$B$11:$M$80,12,FALSE)="","",VLOOKUP($B80,'LT01'!$B$11:$M$80,12,FALSE)))))</f>
        <v/>
      </c>
      <c r="I80" s="300" t="str">
        <f>IF(OR($H$6="",$H$7=""),"",IF($B80="","",IF(ISNA(VLOOKUP($B80,'LT01'!$B$11:$N$80,13,FALSE)),"",VLOOKUP($B80,'LT01'!$B$11:$N$80,13,FALSE))))</f>
        <v/>
      </c>
      <c r="J80" s="94"/>
      <c r="K80" s="95" t="str">
        <f>IF(OR($H$6="",$H$7=""),"",IF($B80="","",IF(ISNA(VLOOKUP($B80,'LT01'!$B$11:$Q$80,16,FALSE)),"",IF(VLOOKUP($B80,'LT01'!$B$11:$Q$80,16,FALSE)="","",VLOOKUP($B80,'LT01'!$B$11:$Q$80,16,FALSE)))))</f>
        <v/>
      </c>
      <c r="L80" s="96" t="str">
        <f>IF(OR($L$6="",$L$7=""),"",IF($B80="","",IF(ISNA(VLOOKUP($B80,'LT02'!$B$11:$M$80,12,FALSE)),"",IF(VLOOKUP($B80,'LT02'!$B$11:$M$80,12,FALSE)="","",VLOOKUP($B80,'LT02'!$B$11:$M$80,12,FALSE)))))</f>
        <v/>
      </c>
      <c r="M80" s="300" t="str">
        <f>IF(OR($L$6="",$L$7=""),"",IF($B80="","",IF(ISNA(VLOOKUP($B80,'LT02'!$B$11:$N$80,13,FALSE)),"",VLOOKUP($B80,'LT02'!$B$11:$N$80,13,FALSE))))</f>
        <v/>
      </c>
      <c r="N80" s="94"/>
      <c r="O80" s="95" t="str">
        <f>IF(OR($L$6="",$L$7=""),"",IF($B80="","",IF(ISNA(VLOOKUP($B80,'LT02'!$B$11:$Q$80,16,FALSE)),"",VLOOKUP($B80,'LT02'!$B$11:$Q$80,16,FALSE))))</f>
        <v/>
      </c>
      <c r="P80" s="96" t="str">
        <f>IF(OR($P$6="",$P$7=""),"",IF($B80="","",IF(ISNA(VLOOKUP($B80,'LT03'!$B$11:$M$80,12,FALSE)),"",IF(VLOOKUP($B80,'LT03'!$B$11:$M$80,12,FALSE)="","",VLOOKUP($B80,'LT03'!$B$11:$M$80,12,FALSE)))))</f>
        <v/>
      </c>
      <c r="Q80" s="300" t="str">
        <f>IF(OR($P$6="",$P$7=""),"",IF($B80="","",IF(ISNA(VLOOKUP($B80,'LT03'!$B$11:$N$80,13,FALSE)),"",VLOOKUP($B80,'LT03'!$B$11:$N$80,13,FALSE))))</f>
        <v/>
      </c>
      <c r="R80" s="94"/>
      <c r="S80" s="95" t="str">
        <f>IF(OR($P$6="",$P$7=""),"",IF($B80="","",IF(ISNA(VLOOKUP($B80,'LT03'!$B$11:$Q$80,16,FALSE)),"",VLOOKUP($B80,'LT03'!$B$11:$Q$80,16,FALSE))))</f>
        <v/>
      </c>
      <c r="T80" s="96" t="str">
        <f>IF(OR($T$6="",$T$7=""),"",IF($B80="","",IF(ISNA(VLOOKUP($B80,'LT04'!$B$11:$M$80,12,FALSE)),"",IF(VLOOKUP($B80,'LT04'!$B$11:$M$80,12,FALSE)="","",VLOOKUP($B80,'LT04'!$B$11:$M$80,12,FALSE)))))</f>
        <v/>
      </c>
      <c r="U80" s="300" t="str">
        <f>IF(OR($T$6="",$T$7=""),"",IF($B80="","",IF(ISNA(VLOOKUP($B80,'LT04'!$B$11:$N$80,13,FALSE)),"",VLOOKUP($B80,'LT04'!$B$11:$N$80,13,FALSE))))</f>
        <v/>
      </c>
      <c r="V80" s="94"/>
      <c r="W80" s="95" t="str">
        <f>IF(OR($T$6="",$T$7=""),"",IF($B80="","",IF(ISNA(VLOOKUP($B80,'LT04'!$B$11:$Q$80,16,FALSE)),"",VLOOKUP($B80,'LT04'!$B$11:$Q$80,16,FALSE))))</f>
        <v/>
      </c>
      <c r="X80" s="96" t="str">
        <f>IF(OR($X$6="",$X$7=""),"",IF($B80="","",IF(ISNA(VLOOKUP($B80,'LT05'!$B$11:$M$80,12,FALSE)),"",IF(VLOOKUP($B80,'LT05'!$B$11:$M$80,12,FALSE)="","",VLOOKUP($B80,'LT05'!$B$11:$M$80,12,FALSE)))))</f>
        <v/>
      </c>
      <c r="Y80" s="300" t="str">
        <f>IF(OR($X$6="",$X$7=""),"",IF($B80="","",IF(ISNA(VLOOKUP($B80,'LT05'!$B$11:$N$80,13,FALSE)),"",VLOOKUP($B80,'LT05'!$B$11:$N$80,13,FALSE))))</f>
        <v/>
      </c>
      <c r="Z80" s="94"/>
      <c r="AA80" s="95" t="str">
        <f>IF(OR($X$6="",$X$7=""),"",IF($B80="","",IF(ISNA(VLOOKUP($B80,'LT05'!$B$11:$Q$80,16,FALSE)),"",VLOOKUP($B80,'LT05'!$B$11:$Q$80,16,FALSE))))</f>
        <v/>
      </c>
      <c r="AB80" s="96" t="str">
        <f>IF(OR($AB$6="",$AB$7=""),"",IF($B80="","",IF(ISNA(VLOOKUP($B80,'LT06'!$B$11:$M$80,12,FALSE)),"",IF(VLOOKUP($B80,'LT06'!$B$11:$M$80,12,FALSE)="","",VLOOKUP($B80,'LT06'!$B$11:$M$80,12,FALSE)))))</f>
        <v/>
      </c>
      <c r="AC80" s="300" t="str">
        <f>IF(OR($AB$6="",$AB$7=""),"",IF($B80="","",IF(ISNA(VLOOKUP($B80,'LT06'!$B$11:$N$80,13,FALSE)),"",VLOOKUP($B80,'LT06'!$B$11:$N$80,13,FALSE))))</f>
        <v/>
      </c>
      <c r="AD80" s="94"/>
      <c r="AE80" s="95" t="str">
        <f>IF(OR($AB$6="",$AB$7=""),"",IF($B80="","",IF(ISNA(VLOOKUP($B80,'LT06'!$B$11:$Q$80,16,FALSE)),"",VLOOKUP($B80,'LT06'!$B$11:$Q$80,16,FALSE))))</f>
        <v/>
      </c>
      <c r="AF80" s="96" t="str">
        <f>IF(OR($AF$6="",$AF$7=""),"",IF($B80="","",IF(ISNA(VLOOKUP($B80,'LT07'!$B$11:$M$80,12,FALSE)),"",IF(VLOOKUP($B80,'LT07'!$B$11:$M$80,12,FALSE)="","",VLOOKUP($B80,'LT07'!$B$11:$M$80,12,FALSE)))))</f>
        <v/>
      </c>
      <c r="AG80" s="300" t="str">
        <f>IF(OR($AF$6="",$AF$7=""),"",IF($B80="","",IF(ISNA(VLOOKUP($B80,'LT07'!$B$11:$N$80,13,FALSE)),"",VLOOKUP($B80,'LT07'!$B$11:$N$80,13,FALSE))))</f>
        <v/>
      </c>
      <c r="AH80" s="94"/>
      <c r="AI80" s="95" t="str">
        <f>IF(OR($AF$6="",$AF$7=""),"",IF($B80="","",IF(ISNA(VLOOKUP($B80,'LT07'!$B$11:$Q$80,16,FALSE)),"",VLOOKUP($B80,'LT07'!$B$11:$Q$80,16,FALSE))))</f>
        <v/>
      </c>
      <c r="AJ80" s="306"/>
      <c r="AK80" s="300" t="str">
        <f>IF(OR($AJ$6="",$AJ$7=""),"",IF($B80="","",IF(ISNA(VLOOKUP($B80,'DO AN'!$B$11:$L$80,11,FALSE)),"",IF(VLOOKUP($B80,'DO AN'!$B$11:$L$80,11,FALSE)="","",VLOOKUP($B80,'DO AN'!$B$11:$L$80,11,FALSE)))))</f>
        <v/>
      </c>
      <c r="AL80" s="94"/>
      <c r="AM80" s="452"/>
      <c r="AN80" s="83"/>
      <c r="AO80" s="82" t="str">
        <f>IF(OR($AN$6="",$AN$7=""),"",IF($B80="","",IF(ISNA(VLOOKUP($B80,'DO AN 2'!$B$11:$L$80,11,FALSE)),"",IF(VLOOKUP($B80,'DO AN 2'!$B$11:$L$80,11,FALSE)="","",VLOOKUP($B80,'DO AN 2'!$B$11:$L$80,11,FALSE)))))</f>
        <v/>
      </c>
      <c r="AP80" s="83"/>
      <c r="AQ80" s="83"/>
      <c r="AR80" s="455"/>
      <c r="AS80" s="300" t="str">
        <f>IF(OR($AR$6="",$AR$7=""),"",IF($B80="","",IF(ISNA(VLOOKUP($B80,'TH01'!$B$11:$O$80,14,FALSE)),"",VLOOKUP($B80,'TH01'!$B$11:$O$80,14,FALSE))))</f>
        <v/>
      </c>
      <c r="AT80" s="94"/>
      <c r="AU80" s="305"/>
      <c r="AV80" s="306"/>
      <c r="AW80" s="300" t="str">
        <f>IF(OR($AV$6="",$AV$7=""),"",IF($B80="","",IF(ISNA(VLOOKUP($B80,'TH02'!$B$11:$O$80,14,FALSE)),"",VLOOKUP($B80,'TH02'!$B$11:$O$80,14,FALSE))))</f>
        <v/>
      </c>
      <c r="AX80" s="94"/>
      <c r="AY80" s="305"/>
      <c r="AZ80" s="306"/>
      <c r="BA80" s="300" t="str">
        <f>IF(OR($AZ$6="",$AZ$7=""),"",IF($B80="","",IF(ISNA(VLOOKUP($B80,'TH03'!$B$11:$O$80,14,FALSE)),"",VLOOKUP($B80,'TH03'!$B$11:$O$80,14,FALSE))))</f>
        <v/>
      </c>
      <c r="BB80" s="94"/>
      <c r="BC80" s="305"/>
      <c r="BD80" s="271" t="str">
        <f>$CT80</f>
        <v/>
      </c>
      <c r="BE80" s="271" t="str">
        <f>$EF80</f>
        <v/>
      </c>
      <c r="BF80" s="97"/>
      <c r="BG80" s="98" t="str">
        <f t="shared" si="103"/>
        <v/>
      </c>
      <c r="BH80" s="98" t="str">
        <f t="shared" si="104"/>
        <v/>
      </c>
      <c r="BI80" s="97"/>
      <c r="BJ80" s="271" t="str">
        <f t="shared" si="105"/>
        <v/>
      </c>
      <c r="BK80" s="270" t="str">
        <f t="shared" si="106"/>
        <v/>
      </c>
      <c r="BL80" s="98" t="str">
        <f t="shared" si="107"/>
        <v/>
      </c>
      <c r="BM80" s="98" t="str">
        <f t="shared" si="108"/>
        <v/>
      </c>
      <c r="BN80" s="98" t="str">
        <f t="shared" si="109"/>
        <v/>
      </c>
      <c r="BO80" s="271" t="str">
        <f>IF($DG80="","",$DG80)</f>
        <v/>
      </c>
      <c r="BP80" s="271" t="str">
        <f t="shared" si="110"/>
        <v/>
      </c>
      <c r="BQ80" s="271" t="str">
        <f>IF($ES80="","",$ES80)</f>
        <v/>
      </c>
      <c r="BR80" s="271" t="str">
        <f t="shared" si="111"/>
        <v/>
      </c>
      <c r="BS80" s="97"/>
      <c r="BT80" s="276" t="str">
        <f>IF(COUNT($BU80:$CF80)=0,"",COUNTIF($BU80:$CF80,"&lt;5"))</f>
        <v/>
      </c>
      <c r="BU80" s="238" t="str">
        <f>$H80</f>
        <v/>
      </c>
      <c r="BV80" s="238" t="str">
        <f>$L80</f>
        <v/>
      </c>
      <c r="BW80" s="238" t="str">
        <f>$P80</f>
        <v/>
      </c>
      <c r="BX80" s="238" t="str">
        <f>$T80</f>
        <v/>
      </c>
      <c r="BY80" s="238" t="str">
        <f>$X80</f>
        <v/>
      </c>
      <c r="BZ80" s="238" t="str">
        <f>$AB80</f>
        <v/>
      </c>
      <c r="CA80" s="238" t="str">
        <f>$AF80</f>
        <v/>
      </c>
      <c r="CB80" s="238" t="str">
        <f>$AK80</f>
        <v/>
      </c>
      <c r="CC80" s="238" t="str">
        <f>$AO80</f>
        <v/>
      </c>
      <c r="CD80" s="238" t="str">
        <f>$AS80</f>
        <v/>
      </c>
      <c r="CE80" s="238" t="str">
        <f>$AW80</f>
        <v/>
      </c>
      <c r="CF80" s="238" t="str">
        <f>$BA80</f>
        <v/>
      </c>
      <c r="CG80" s="239" t="str">
        <f>IF(COUNT($CH80:$CS80)=0,"",COUNTIF($CH80:$CS80,"&lt;4"))</f>
        <v/>
      </c>
      <c r="CH80" s="238" t="str">
        <f>$I80</f>
        <v/>
      </c>
      <c r="CI80" s="238" t="str">
        <f>$M80</f>
        <v/>
      </c>
      <c r="CJ80" s="238" t="str">
        <f>$Q80</f>
        <v/>
      </c>
      <c r="CK80" s="238" t="str">
        <f>$U80</f>
        <v/>
      </c>
      <c r="CL80" s="238" t="str">
        <f>$Y80</f>
        <v/>
      </c>
      <c r="CM80" s="238" t="str">
        <f>$AC80</f>
        <v/>
      </c>
      <c r="CN80" s="238" t="str">
        <f>$AG80</f>
        <v/>
      </c>
      <c r="CO80" s="238" t="str">
        <f>$AK80</f>
        <v/>
      </c>
      <c r="CP80" s="238" t="str">
        <f>$AO80</f>
        <v/>
      </c>
      <c r="CQ80" s="238" t="str">
        <f>$AS80</f>
        <v/>
      </c>
      <c r="CR80" s="238" t="str">
        <f>$AW80</f>
        <v/>
      </c>
      <c r="CS80" s="238" t="str">
        <f>$BA80</f>
        <v/>
      </c>
      <c r="CT80" s="240" t="str">
        <f>IF(COUNT($CH80:$CS80)=0,"",ROUND(SUMPRODUCT($CH80:$CS80,$CH$7:$CS$7)/(SUM($CH$7:$CS$7)-SUMIF($CH80:$CS80,"",$CH$7:$CS$7)),2))</f>
        <v/>
      </c>
      <c r="CU80" s="241" t="str">
        <f>IF($CH80&lt;4,"",$CH80)</f>
        <v/>
      </c>
      <c r="CV80" s="241" t="str">
        <f>IF($CI80&lt;4,"",$CI80)</f>
        <v/>
      </c>
      <c r="CW80" s="241" t="str">
        <f>IF($CJ80&lt;4,"",$CJ80)</f>
        <v/>
      </c>
      <c r="CX80" s="241" t="str">
        <f>IF($CK80&lt;4,"",$CK80)</f>
        <v/>
      </c>
      <c r="CY80" s="241" t="str">
        <f>IF($CL80&lt;4,"",$CL80)</f>
        <v/>
      </c>
      <c r="CZ80" s="241" t="str">
        <f>IF($CM80&lt;4,"",$CM80)</f>
        <v/>
      </c>
      <c r="DA80" s="241" t="str">
        <f>IF($CN80&lt;4,"",$CN80)</f>
        <v/>
      </c>
      <c r="DB80" s="241" t="str">
        <f>IF($CO80&lt;4,"",$CO80)</f>
        <v/>
      </c>
      <c r="DC80" s="241" t="str">
        <f>IF($CP80&lt;4,"",$CP80)</f>
        <v/>
      </c>
      <c r="DD80" s="241" t="str">
        <f>IF($CQ80&lt;4,"",$CQ80)</f>
        <v/>
      </c>
      <c r="DE80" s="241" t="str">
        <f>IF($CR80&lt;4,"",$CR80)</f>
        <v/>
      </c>
      <c r="DF80" s="241" t="str">
        <f>IF($CS80&lt;4,"",$CS80)</f>
        <v/>
      </c>
      <c r="DG80" s="242" t="str">
        <f t="shared" si="112"/>
        <v/>
      </c>
      <c r="DH80" s="82" t="str">
        <f>IF($K80="","",$K80)</f>
        <v/>
      </c>
      <c r="DI80" s="82" t="str">
        <f>IF($O80="","",$O80)</f>
        <v/>
      </c>
      <c r="DJ80" s="82" t="str">
        <f>IF($S80="","",$S80)</f>
        <v/>
      </c>
      <c r="DK80" s="82" t="str">
        <f>IF($W80="","",$W80)</f>
        <v/>
      </c>
      <c r="DL80" s="82" t="str">
        <f>IF($AA80="","",$AA80)</f>
        <v/>
      </c>
      <c r="DM80" s="82" t="str">
        <f>IF($AE80="","",$AE80)</f>
        <v/>
      </c>
      <c r="DN80" s="82" t="str">
        <f>IF($AI80="","",$AI80)</f>
        <v/>
      </c>
      <c r="DO80" s="82" t="str">
        <f>IF($AM80="","",$AM80)</f>
        <v/>
      </c>
      <c r="DP80" s="82" t="str">
        <f>IF($AQ80="","",$AQ80)</f>
        <v/>
      </c>
      <c r="DQ80" s="82" t="str">
        <f>IF($AU80="","",$AU80)</f>
        <v/>
      </c>
      <c r="DR80" s="82" t="str">
        <f>IF($AY80="","",$AY80)</f>
        <v/>
      </c>
      <c r="DS80" s="253" t="str">
        <f>IF($BC80="","",$BC80)</f>
        <v/>
      </c>
      <c r="DT80" s="250" t="str">
        <f>IF($H80&gt;=$J80,$I80,$K80)</f>
        <v/>
      </c>
      <c r="DU80" s="238" t="str">
        <f>IF($L80&gt;=$N80,$M80,$O80)</f>
        <v/>
      </c>
      <c r="DV80" s="238" t="str">
        <f>IF($P80&gt;=$R80,$Q80,$S80)</f>
        <v/>
      </c>
      <c r="DW80" s="238" t="str">
        <f>IF($T80&gt;=$V80,$U80,$W80)</f>
        <v/>
      </c>
      <c r="DX80" s="238" t="str">
        <f>IF($X80&gt;=$Z80,$Y80,$AA80)</f>
        <v/>
      </c>
      <c r="DY80" s="238" t="str">
        <f>IF($AB80&gt;=$AD80,$AC80,$AE80)</f>
        <v/>
      </c>
      <c r="DZ80" s="238" t="str">
        <f>IF($AF80&gt;=$AH80,$AG80,$AI80)</f>
        <v/>
      </c>
      <c r="EA80" s="238" t="str">
        <f>IF($AJ80&gt;=$AL80,$AK80,$AM80)</f>
        <v/>
      </c>
      <c r="EB80" s="238" t="str">
        <f>IF($AN80&gt;=$AP80,$AO80,$AQ80)</f>
        <v/>
      </c>
      <c r="EC80" s="238" t="str">
        <f>IF($AR80&gt;=$AT80,$AS80,$AU80)</f>
        <v/>
      </c>
      <c r="ED80" s="238" t="str">
        <f>IF($AV80&gt;=$AX80,$AW80,$AY80)</f>
        <v/>
      </c>
      <c r="EE80" s="238" t="str">
        <f>IF($AZ80&gt;=$BB80,$BA80,$BC80)</f>
        <v/>
      </c>
      <c r="EF80" s="255" t="str">
        <f>IF(COUNT($DH80:$DS80)=0,"",ROUND(SUMPRODUCT($DT80:$EE80,$DT$7:$EE$7)/(SUM($DT$7:$EE$7)-SUMIF($DT80:$EE80,"",$DT$7:$EE$7)),2))</f>
        <v/>
      </c>
      <c r="EG80" s="257" t="str">
        <f>IF($DT80&lt;4,"",$DT80)</f>
        <v/>
      </c>
      <c r="EH80" s="257" t="str">
        <f>IF($DU80&lt;4,"",$DU80)</f>
        <v/>
      </c>
      <c r="EI80" s="257" t="str">
        <f>IF($DV80&lt;4,"",$DV80)</f>
        <v/>
      </c>
      <c r="EJ80" s="257" t="str">
        <f>IF($DW80&lt;4,"",$DW80)</f>
        <v/>
      </c>
      <c r="EK80" s="257" t="str">
        <f>IF($DX80&lt;4,"",$DX80)</f>
        <v/>
      </c>
      <c r="EL80" s="257" t="str">
        <f>IF($DY80&lt;4,"",$DY80)</f>
        <v/>
      </c>
      <c r="EM80" s="257" t="str">
        <f>IF($DZ80&lt;4,"",$DZ80)</f>
        <v/>
      </c>
      <c r="EN80" s="257" t="str">
        <f>IF($EA80&lt;4,"",$EA80)</f>
        <v/>
      </c>
      <c r="EO80" s="257" t="str">
        <f>IF($EB80&lt;4,"",$EB80)</f>
        <v/>
      </c>
      <c r="EP80" s="257" t="str">
        <f>IF($EC80&lt;4,"",$EC80)</f>
        <v/>
      </c>
      <c r="EQ80" s="257" t="str">
        <f>IF($ED80&lt;4,"",$ED80)</f>
        <v/>
      </c>
      <c r="ER80" s="257" t="str">
        <f>IF($EE80&lt;4,"",$EE80)</f>
        <v/>
      </c>
      <c r="ES80" s="262" t="str">
        <f t="shared" si="113"/>
        <v/>
      </c>
      <c r="ET80" s="307" t="str">
        <f>IF($EF80="",$CT80,$EF80)</f>
        <v/>
      </c>
      <c r="EX80" s="89"/>
    </row>
    <row r="81" spans="1:161" ht="15.75">
      <c r="B81" s="15"/>
      <c r="C81" s="15"/>
      <c r="D81" s="15"/>
      <c r="E81" s="15"/>
      <c r="F81" s="15"/>
      <c r="G81" s="15"/>
      <c r="H81" s="15"/>
      <c r="I81" s="15"/>
      <c r="J81" s="15"/>
      <c r="K81" s="15"/>
      <c r="L81" s="15"/>
      <c r="M81" s="15"/>
      <c r="N81" s="15"/>
      <c r="O81" s="15"/>
      <c r="P81" s="15"/>
      <c r="Q81" s="15"/>
      <c r="R81" s="15"/>
      <c r="S81" s="15"/>
      <c r="T81" s="15"/>
      <c r="BO81" s="2"/>
      <c r="BU81" s="11"/>
      <c r="BV81" s="11"/>
    </row>
    <row r="82" spans="1:161" ht="15.75">
      <c r="B82" s="16"/>
      <c r="C82" s="16"/>
      <c r="D82" s="16"/>
      <c r="E82" s="16"/>
      <c r="F82" s="16"/>
      <c r="G82" s="16"/>
      <c r="H82" s="16"/>
      <c r="I82" s="16"/>
      <c r="J82" s="16"/>
      <c r="K82" s="16"/>
      <c r="L82" s="16"/>
      <c r="M82" s="16"/>
      <c r="N82" s="16"/>
      <c r="O82" s="16"/>
      <c r="P82" s="16"/>
      <c r="Q82" s="16"/>
      <c r="R82" s="16"/>
      <c r="S82" s="16"/>
      <c r="T82" s="16"/>
      <c r="BO82" s="2"/>
      <c r="BU82" s="11"/>
      <c r="BV82" s="11"/>
    </row>
    <row r="83" spans="1:161" s="61" customFormat="1" ht="38.25" customHeight="1">
      <c r="A83" s="580" t="str">
        <f>"THỐNG KÊ KẾT QUẢ HỌC TẬP
(căn cứ vào điểm trung bình chung học tập sau kỳ thi chính)"</f>
        <v>THỐNG KÊ KẾT QUẢ HỌC TẬP
(căn cứ vào điểm trung bình chung học tập sau kỳ thi chính)</v>
      </c>
      <c r="B83" s="580"/>
      <c r="C83" s="580"/>
      <c r="D83" s="580"/>
      <c r="E83" s="580"/>
      <c r="F83" s="580"/>
      <c r="G83" s="580"/>
      <c r="H83" s="524" t="str">
        <f>"SL = "&amp;MAX($A$11:$A$80)</f>
        <v>SL = 50</v>
      </c>
      <c r="I83" s="524"/>
      <c r="J83" s="524" t="str">
        <f>"%"</f>
        <v>%</v>
      </c>
      <c r="K83" s="524"/>
      <c r="L83" s="59"/>
      <c r="M83" s="59"/>
      <c r="N83" s="556" t="s">
        <v>2691</v>
      </c>
      <c r="O83" s="556"/>
      <c r="P83" s="556"/>
      <c r="Q83" s="556"/>
      <c r="R83" s="556"/>
      <c r="S83" s="556"/>
      <c r="T83" s="556"/>
      <c r="U83" s="556"/>
      <c r="V83" s="60"/>
      <c r="W83" s="60"/>
      <c r="Y83" s="62"/>
      <c r="Z83" s="62"/>
      <c r="AA83" s="62"/>
      <c r="AB83" s="556" t="s">
        <v>2691</v>
      </c>
      <c r="AC83" s="556"/>
      <c r="AD83" s="556"/>
      <c r="AE83" s="556"/>
      <c r="AF83" s="556"/>
      <c r="AG83" s="556"/>
      <c r="AH83" s="556"/>
      <c r="AI83" s="556"/>
      <c r="AJ83" s="62"/>
      <c r="AK83" s="62"/>
      <c r="AL83" s="62"/>
      <c r="AM83" s="62"/>
      <c r="AN83" s="62"/>
      <c r="AO83" s="62"/>
      <c r="AP83" s="62"/>
      <c r="AQ83" s="62"/>
      <c r="AR83" s="62"/>
      <c r="AS83" s="62"/>
      <c r="AT83" s="62"/>
      <c r="AU83" s="62"/>
      <c r="AV83" s="62"/>
      <c r="AW83" s="62"/>
      <c r="AX83" s="62"/>
      <c r="AY83" s="62"/>
      <c r="AZ83" s="62"/>
      <c r="BA83" s="62"/>
      <c r="BB83" s="62"/>
      <c r="BC83" s="62"/>
      <c r="BD83" s="556" t="s">
        <v>2692</v>
      </c>
      <c r="BE83" s="556"/>
      <c r="BF83" s="556"/>
      <c r="BG83" s="556"/>
      <c r="BH83" s="556"/>
      <c r="BI83" s="556"/>
      <c r="BJ83" s="556"/>
      <c r="BK83" s="556"/>
      <c r="BL83" s="556"/>
      <c r="BM83" s="556"/>
      <c r="BN83" s="62"/>
      <c r="BO83" s="62"/>
      <c r="BP83" s="71"/>
      <c r="BQ83" s="71"/>
      <c r="BR83" s="71"/>
      <c r="BS83" s="62"/>
      <c r="BT83" s="60"/>
      <c r="BU83" s="60"/>
      <c r="BV83" s="60"/>
      <c r="BW83" s="60"/>
      <c r="BX83" s="60"/>
      <c r="BY83" s="60"/>
      <c r="BZ83" s="60"/>
      <c r="CA83" s="60"/>
      <c r="CB83" s="60"/>
      <c r="CC83" s="60"/>
      <c r="CD83" s="60"/>
      <c r="CE83" s="60"/>
      <c r="CF83" s="60"/>
      <c r="CG83" s="60"/>
      <c r="CX83" s="63"/>
      <c r="CY83" s="63"/>
      <c r="CZ83" s="63"/>
      <c r="DA83" s="63"/>
      <c r="DB83" s="63"/>
      <c r="DC83" s="63"/>
      <c r="DD83" s="63"/>
      <c r="DE83" s="63"/>
      <c r="DF83" s="63"/>
      <c r="DG83" s="63"/>
      <c r="EJ83" s="63"/>
      <c r="EK83" s="63"/>
      <c r="EL83" s="63"/>
      <c r="EM83" s="63"/>
      <c r="EN83" s="63"/>
      <c r="EO83" s="63"/>
      <c r="EP83" s="63"/>
      <c r="EQ83" s="63"/>
      <c r="ER83" s="63"/>
      <c r="ES83" s="63"/>
      <c r="EX83" s="63"/>
      <c r="EY83" s="63"/>
      <c r="EZ83" s="63"/>
      <c r="FA83" s="63"/>
      <c r="FB83" s="63"/>
      <c r="FC83" s="63"/>
      <c r="FD83" s="63"/>
      <c r="FE83" s="63"/>
    </row>
    <row r="84" spans="1:161" s="61" customFormat="1" ht="18.75">
      <c r="A84" s="522"/>
      <c r="B84" s="522"/>
      <c r="C84" s="522"/>
      <c r="D84" s="522"/>
      <c r="E84" s="522"/>
      <c r="F84" s="522"/>
      <c r="G84" s="522"/>
      <c r="H84" s="529"/>
      <c r="I84" s="529"/>
      <c r="J84" s="523"/>
      <c r="K84" s="523"/>
      <c r="L84" s="64"/>
      <c r="M84" s="58"/>
      <c r="N84" s="64" t="s">
        <v>1263</v>
      </c>
      <c r="O84" s="64"/>
      <c r="P84" s="64"/>
      <c r="Q84" s="64"/>
      <c r="R84" s="64"/>
      <c r="S84" s="64"/>
      <c r="T84" s="64"/>
      <c r="U84" s="64"/>
      <c r="V84" s="64"/>
      <c r="W84" s="64"/>
      <c r="Y84" s="64"/>
      <c r="Z84" s="64"/>
      <c r="AA84" s="64"/>
      <c r="AB84" s="555" t="s">
        <v>190</v>
      </c>
      <c r="AC84" s="555"/>
      <c r="AD84" s="555"/>
      <c r="AE84" s="555"/>
      <c r="AF84" s="555"/>
      <c r="AG84" s="555"/>
      <c r="AH84" s="555"/>
      <c r="AI84" s="555"/>
      <c r="AJ84" s="64"/>
      <c r="AK84" s="64"/>
      <c r="AL84" s="64"/>
      <c r="AM84" s="64"/>
      <c r="AN84" s="64"/>
      <c r="AO84" s="64"/>
      <c r="AP84" s="64"/>
      <c r="AQ84" s="64"/>
      <c r="AR84" s="64"/>
      <c r="AS84" s="64"/>
      <c r="AT84" s="64"/>
      <c r="AU84" s="64"/>
      <c r="AV84" s="64"/>
      <c r="AW84" s="64"/>
      <c r="AX84" s="64"/>
      <c r="AY84" s="64"/>
      <c r="AZ84" s="64"/>
      <c r="BA84" s="64"/>
      <c r="BB84" s="64"/>
      <c r="BC84" s="64"/>
      <c r="BD84" s="555" t="s">
        <v>297</v>
      </c>
      <c r="BE84" s="555"/>
      <c r="BF84" s="555"/>
      <c r="BG84" s="555"/>
      <c r="BH84" s="555"/>
      <c r="BI84" s="555"/>
      <c r="BJ84" s="555"/>
      <c r="BK84" s="555"/>
      <c r="BL84" s="555"/>
      <c r="BM84" s="555"/>
      <c r="BN84" s="64"/>
      <c r="BO84" s="64"/>
      <c r="BP84" s="71"/>
      <c r="BQ84" s="71"/>
      <c r="BR84" s="71"/>
      <c r="BS84" s="64"/>
      <c r="BT84" s="64"/>
      <c r="BU84" s="64"/>
      <c r="BV84" s="64"/>
      <c r="BW84" s="64"/>
      <c r="BX84" s="64"/>
      <c r="BY84" s="64"/>
      <c r="BZ84" s="64"/>
      <c r="CA84" s="64"/>
      <c r="CB84" s="64"/>
      <c r="CC84" s="64"/>
      <c r="CD84" s="64"/>
      <c r="CE84" s="64"/>
      <c r="CF84" s="64"/>
      <c r="CG84" s="64"/>
      <c r="CX84" s="63"/>
      <c r="CY84" s="63"/>
      <c r="CZ84" s="63"/>
      <c r="DA84" s="63"/>
      <c r="DB84" s="63"/>
      <c r="DC84" s="63"/>
      <c r="DD84" s="63"/>
      <c r="DE84" s="63"/>
      <c r="DF84" s="63"/>
      <c r="DG84" s="63"/>
      <c r="EJ84" s="63"/>
      <c r="EK84" s="63"/>
      <c r="EL84" s="63"/>
      <c r="EM84" s="63"/>
      <c r="EN84" s="63"/>
      <c r="EO84" s="63"/>
      <c r="EP84" s="63"/>
      <c r="EQ84" s="63"/>
      <c r="ER84" s="63"/>
      <c r="ES84" s="63"/>
      <c r="EX84" s="63"/>
      <c r="EY84" s="63"/>
      <c r="EZ84" s="63"/>
      <c r="FA84" s="63"/>
      <c r="FB84" s="63"/>
      <c r="FC84" s="63"/>
      <c r="FD84" s="63"/>
      <c r="FE84" s="63"/>
    </row>
    <row r="85" spans="1:161" s="61" customFormat="1" ht="18.75">
      <c r="A85" s="525" t="str">
        <f>"Loại Xuất Sắc"</f>
        <v>Loại Xuất Sắc</v>
      </c>
      <c r="B85" s="525"/>
      <c r="C85" s="525"/>
      <c r="D85" s="526" t="str">
        <f>"(9 đến 10)"</f>
        <v>(9 đến 10)</v>
      </c>
      <c r="E85" s="526"/>
      <c r="F85" s="526"/>
      <c r="G85" s="526"/>
      <c r="H85" s="527" t="str">
        <f>COUNTIF($BD$11:$BD$80,"&gt;=9")&amp;"/"&amp;MAX($A$11:$A$80)</f>
        <v>0/50</v>
      </c>
      <c r="I85" s="527"/>
      <c r="J85" s="528" t="str">
        <f>ROUND(100*(COUNTIF(BD$11:BD$80,"&gt;=9"))/MAX($A$11:$A$80),2)&amp;" %"</f>
        <v>0 %</v>
      </c>
      <c r="K85" s="528"/>
      <c r="L85" s="59"/>
      <c r="M85" s="59"/>
      <c r="N85" s="59"/>
      <c r="O85" s="59"/>
      <c r="P85" s="59"/>
      <c r="Q85" s="59"/>
      <c r="R85" s="59"/>
      <c r="S85" s="59"/>
      <c r="BP85" s="71"/>
      <c r="BQ85" s="71"/>
      <c r="BR85" s="71"/>
      <c r="BU85" s="63"/>
      <c r="BV85" s="63"/>
      <c r="CX85" s="63"/>
      <c r="CY85" s="63"/>
      <c r="CZ85" s="63"/>
      <c r="DA85" s="63"/>
      <c r="DB85" s="63"/>
      <c r="DC85" s="63"/>
      <c r="DD85" s="63"/>
      <c r="DE85" s="63"/>
      <c r="DF85" s="63"/>
      <c r="DG85" s="63"/>
      <c r="EJ85" s="63"/>
      <c r="EK85" s="63"/>
      <c r="EL85" s="63"/>
      <c r="EM85" s="63"/>
      <c r="EN85" s="63"/>
      <c r="EO85" s="63"/>
      <c r="EP85" s="63"/>
      <c r="EQ85" s="63"/>
      <c r="ER85" s="63"/>
      <c r="ES85" s="63"/>
      <c r="EX85" s="63"/>
      <c r="EY85" s="63"/>
      <c r="EZ85" s="63"/>
      <c r="FA85" s="63"/>
      <c r="FB85" s="63"/>
      <c r="FC85" s="63"/>
      <c r="FD85" s="63"/>
      <c r="FE85" s="63"/>
    </row>
    <row r="86" spans="1:161" s="61" customFormat="1" ht="18.75">
      <c r="A86" s="525" t="str">
        <f>"Loại Giỏi"</f>
        <v>Loại Giỏi</v>
      </c>
      <c r="B86" s="525"/>
      <c r="C86" s="525"/>
      <c r="D86" s="526" t="str">
        <f>"(8 đến cận 9)"</f>
        <v>(8 đến cận 9)</v>
      </c>
      <c r="E86" s="526"/>
      <c r="F86" s="526"/>
      <c r="G86" s="526"/>
      <c r="H86" s="527" t="str">
        <f>COUNTIF($BD$11:$BD$80,"&gt;=8")-COUNTIF(BD$11:BD$80,"&gt;=9")&amp;"/"&amp;MAX($A$11:$A$80)</f>
        <v>1/50</v>
      </c>
      <c r="I86" s="527"/>
      <c r="J86" s="528" t="str">
        <f>ROUND(100*(COUNTIF(BD$11:BD$80,"&gt;=8")-COUNTIF(BD$11:BD$80,"&gt;=9"))/MAX($A$11:$A$80),2)&amp;" %"</f>
        <v>2 %</v>
      </c>
      <c r="K86" s="528"/>
      <c r="L86" s="59"/>
      <c r="M86" s="59"/>
      <c r="N86" s="59"/>
      <c r="O86" s="59"/>
      <c r="P86" s="59"/>
      <c r="Q86" s="59"/>
      <c r="R86" s="59"/>
      <c r="S86" s="59"/>
      <c r="BP86" s="71"/>
      <c r="BQ86" s="71"/>
      <c r="BR86" s="71"/>
      <c r="BU86" s="63"/>
      <c r="BV86" s="63"/>
      <c r="CX86" s="63"/>
      <c r="CY86" s="63"/>
      <c r="CZ86" s="63"/>
      <c r="DA86" s="63"/>
      <c r="DB86" s="63"/>
      <c r="DC86" s="63"/>
      <c r="DD86" s="63"/>
      <c r="DE86" s="63"/>
      <c r="DF86" s="63"/>
      <c r="DG86" s="63"/>
      <c r="EJ86" s="63"/>
      <c r="EK86" s="63"/>
      <c r="EL86" s="63"/>
      <c r="EM86" s="63"/>
      <c r="EN86" s="63"/>
      <c r="EO86" s="63"/>
      <c r="EP86" s="63"/>
      <c r="EQ86" s="63"/>
      <c r="ER86" s="63"/>
      <c r="ES86" s="63"/>
      <c r="EX86" s="63"/>
      <c r="EY86" s="63"/>
      <c r="EZ86" s="63"/>
      <c r="FA86" s="63"/>
      <c r="FB86" s="63"/>
      <c r="FC86" s="63"/>
      <c r="FD86" s="63"/>
      <c r="FE86" s="63"/>
    </row>
    <row r="87" spans="1:161" s="61" customFormat="1" ht="18.75">
      <c r="A87" s="525" t="str">
        <f>"Loại Khá"</f>
        <v>Loại Khá</v>
      </c>
      <c r="B87" s="525"/>
      <c r="C87" s="525"/>
      <c r="D87" s="522" t="s">
        <v>157</v>
      </c>
      <c r="E87" s="522"/>
      <c r="F87" s="522"/>
      <c r="G87" s="522"/>
      <c r="H87" s="527" t="str">
        <f>COUNTIF($BD11:$BD80,"&gt;=7")-COUNTIF(BD$11:BD$80,"&gt;=8")&amp;"/"&amp;MAX($A$11:$A$80)</f>
        <v>5/50</v>
      </c>
      <c r="I87" s="527"/>
      <c r="J87" s="528" t="str">
        <f>ROUND(100*(COUNTIF(BD$11:BD$80,"&gt;=7")-COUNTIF(BD$11:BD$80,"&gt;=8"))/MAX($A$11:$A$80),2)&amp;" %"</f>
        <v>10 %</v>
      </c>
      <c r="K87" s="528"/>
      <c r="L87" s="59"/>
      <c r="M87" s="59"/>
      <c r="N87" s="59"/>
      <c r="O87" s="59"/>
      <c r="P87" s="59"/>
      <c r="Q87" s="59"/>
      <c r="R87" s="59"/>
      <c r="S87" s="59"/>
      <c r="BP87" s="71"/>
      <c r="BQ87" s="71"/>
      <c r="BR87" s="71"/>
      <c r="BU87" s="63"/>
      <c r="BV87" s="63"/>
      <c r="CX87" s="63"/>
      <c r="CY87" s="63"/>
      <c r="CZ87" s="63"/>
      <c r="DA87" s="63"/>
      <c r="DB87" s="63"/>
      <c r="DC87" s="63"/>
      <c r="DD87" s="63"/>
      <c r="DE87" s="63"/>
      <c r="DF87" s="63"/>
      <c r="DG87" s="63"/>
      <c r="EJ87" s="63"/>
      <c r="EK87" s="63"/>
      <c r="EL87" s="63"/>
      <c r="EM87" s="63"/>
      <c r="EN87" s="63"/>
      <c r="EO87" s="63"/>
      <c r="EP87" s="63"/>
      <c r="EQ87" s="63"/>
      <c r="ER87" s="63"/>
      <c r="ES87" s="63"/>
      <c r="EX87" s="63"/>
      <c r="EY87" s="63"/>
      <c r="EZ87" s="63"/>
      <c r="FA87" s="63"/>
      <c r="FB87" s="63"/>
      <c r="FC87" s="63"/>
      <c r="FD87" s="63"/>
      <c r="FE87" s="63"/>
    </row>
    <row r="88" spans="1:161" s="61" customFormat="1" ht="18.75">
      <c r="A88" s="525" t="str">
        <f>"Loại Trung bình"</f>
        <v>Loại Trung bình</v>
      </c>
      <c r="B88" s="525"/>
      <c r="C88" s="525"/>
      <c r="D88" s="522" t="s">
        <v>1000</v>
      </c>
      <c r="E88" s="522"/>
      <c r="F88" s="522"/>
      <c r="G88" s="522"/>
      <c r="H88" s="527" t="str">
        <f>COUNTIF($BD11:$BD80,"&gt;=5.5")-COUNTIF(BD$11:BD$80,"&gt;=7")&amp;"/"&amp;MAX($A$11:$A$80)</f>
        <v>29/50</v>
      </c>
      <c r="I88" s="527"/>
      <c r="J88" s="528" t="str">
        <f>ROUND(100*(COUNTIF(BD$11:BD$80,"&gt;=5.5")-COUNTIF(BD$11:BD$80,"&gt;=7"))/MAX($A$11:$A$80),2)&amp;" %"</f>
        <v>58 %</v>
      </c>
      <c r="K88" s="528"/>
      <c r="L88" s="59"/>
      <c r="M88" s="59"/>
      <c r="N88" s="59"/>
      <c r="O88" s="59"/>
      <c r="P88" s="59"/>
      <c r="Q88" s="59"/>
      <c r="R88" s="59"/>
      <c r="S88" s="59"/>
      <c r="BP88" s="71"/>
      <c r="BQ88" s="71"/>
      <c r="BR88" s="71"/>
      <c r="BU88" s="63"/>
      <c r="BV88" s="63"/>
      <c r="CX88" s="63"/>
      <c r="CY88" s="63"/>
      <c r="CZ88" s="63"/>
      <c r="DA88" s="63"/>
      <c r="DB88" s="63"/>
      <c r="DC88" s="63"/>
      <c r="DD88" s="63"/>
      <c r="DE88" s="63"/>
      <c r="DF88" s="63"/>
      <c r="DG88" s="63"/>
      <c r="EJ88" s="63"/>
      <c r="EK88" s="63"/>
      <c r="EL88" s="63"/>
      <c r="EM88" s="63"/>
      <c r="EN88" s="63"/>
      <c r="EO88" s="63"/>
      <c r="EP88" s="63"/>
      <c r="EQ88" s="63"/>
      <c r="ER88" s="63"/>
      <c r="ES88" s="63"/>
      <c r="EX88" s="63"/>
      <c r="EY88" s="63"/>
      <c r="EZ88" s="63"/>
      <c r="FA88" s="63"/>
      <c r="FB88" s="63"/>
      <c r="FC88" s="63"/>
      <c r="FD88" s="63"/>
      <c r="FE88" s="63"/>
    </row>
    <row r="89" spans="1:161" s="61" customFormat="1" ht="18.75">
      <c r="A89" s="525" t="str">
        <f>"Loại Trung bình yếu"</f>
        <v>Loại Trung bình yếu</v>
      </c>
      <c r="B89" s="525"/>
      <c r="C89" s="525"/>
      <c r="D89" s="522" t="s">
        <v>971</v>
      </c>
      <c r="E89" s="522"/>
      <c r="F89" s="522"/>
      <c r="G89" s="522"/>
      <c r="H89" s="527" t="str">
        <f>COUNTIF($BD11:$BD80,"&gt;=4")-COUNTIF(BD$11:BD$80,"&gt;=5.5")&amp;"/"&amp;MAX($A$11:$A$80)</f>
        <v>10/50</v>
      </c>
      <c r="I89" s="527"/>
      <c r="J89" s="528" t="str">
        <f>ROUND(100*(COUNTIF(BD$11:BD$80,"&gt;=4")-COUNTIF(BD$11:BD$80,"&gt;=5.5"))/MAX($A$11:$A$80),2)&amp;" %"</f>
        <v>20 %</v>
      </c>
      <c r="K89" s="528"/>
      <c r="L89" s="59"/>
      <c r="M89" s="59"/>
      <c r="N89" s="59"/>
      <c r="O89" s="59"/>
      <c r="P89" s="59"/>
      <c r="Q89" s="59"/>
      <c r="R89" s="59"/>
      <c r="S89" s="59"/>
      <c r="BP89" s="71"/>
      <c r="BQ89" s="71"/>
      <c r="BR89" s="71"/>
      <c r="BU89" s="63"/>
      <c r="BV89" s="63"/>
      <c r="CX89" s="63"/>
      <c r="CY89" s="63"/>
      <c r="CZ89" s="63"/>
      <c r="DA89" s="63"/>
      <c r="DB89" s="63"/>
      <c r="DC89" s="63"/>
      <c r="DD89" s="63"/>
      <c r="DE89" s="63"/>
      <c r="DF89" s="63"/>
      <c r="DG89" s="63"/>
      <c r="EJ89" s="63"/>
      <c r="EK89" s="63"/>
      <c r="EL89" s="63"/>
      <c r="EM89" s="63"/>
      <c r="EN89" s="63"/>
      <c r="EO89" s="63"/>
      <c r="EP89" s="63"/>
      <c r="EQ89" s="63"/>
      <c r="ER89" s="63"/>
      <c r="ES89" s="63"/>
      <c r="EX89" s="63"/>
      <c r="EY89" s="63"/>
      <c r="EZ89" s="63"/>
      <c r="FA89" s="63"/>
      <c r="FB89" s="63"/>
      <c r="FC89" s="63"/>
      <c r="FD89" s="63"/>
      <c r="FE89" s="63"/>
    </row>
    <row r="90" spans="1:161" s="61" customFormat="1" ht="18.75">
      <c r="A90" s="525" t="str">
        <f>"Loại Kém"</f>
        <v>Loại Kém</v>
      </c>
      <c r="B90" s="525"/>
      <c r="C90" s="525"/>
      <c r="D90" s="522" t="s">
        <v>972</v>
      </c>
      <c r="E90" s="522"/>
      <c r="F90" s="522"/>
      <c r="G90" s="522"/>
      <c r="H90" s="527" t="str">
        <f>COUNTIF($BD11:$BD80,"&lt;4")&amp;"/"&amp;MAX($A$11:$A$80)</f>
        <v>5/50</v>
      </c>
      <c r="I90" s="527"/>
      <c r="J90" s="528" t="str">
        <f>ROUND(100*(COUNTIF(BD$11:BD$80,"&lt;4"))/MAX($A$11:$A$80),2)&amp;" %"</f>
        <v>10 %</v>
      </c>
      <c r="K90" s="528"/>
      <c r="L90" s="59"/>
      <c r="M90" s="59"/>
      <c r="N90" s="59"/>
      <c r="O90" s="59"/>
      <c r="P90" s="59"/>
      <c r="Q90" s="59"/>
      <c r="R90" s="59"/>
      <c r="S90" s="59"/>
      <c r="BO90" s="71"/>
      <c r="BP90" s="71"/>
      <c r="BQ90" s="71"/>
      <c r="BR90" s="71"/>
      <c r="BU90" s="63"/>
      <c r="BV90" s="63"/>
      <c r="CX90" s="63"/>
      <c r="CY90" s="63"/>
      <c r="CZ90" s="63"/>
      <c r="DA90" s="63"/>
      <c r="DB90" s="63"/>
      <c r="DC90" s="63"/>
      <c r="DD90" s="63"/>
      <c r="DE90" s="63"/>
      <c r="DF90" s="63"/>
      <c r="DG90" s="63"/>
      <c r="EJ90" s="63"/>
      <c r="EK90" s="63"/>
      <c r="EL90" s="63"/>
      <c r="EM90" s="63"/>
      <c r="EN90" s="63"/>
      <c r="EO90" s="63"/>
      <c r="EP90" s="63"/>
      <c r="EQ90" s="63"/>
      <c r="ER90" s="63"/>
      <c r="ES90" s="63"/>
      <c r="EX90" s="63"/>
      <c r="EY90" s="63"/>
      <c r="EZ90" s="63"/>
      <c r="FA90" s="63"/>
      <c r="FB90" s="63"/>
      <c r="FC90" s="63"/>
      <c r="FD90" s="63"/>
      <c r="FE90" s="63"/>
    </row>
    <row r="92" spans="1:161" ht="38.1" customHeight="1">
      <c r="A92" s="530" t="str">
        <f>"THỐNG KÊ KẾT QUẢ HỌC TẬP
(căn cứ vào điểm trung bình chung học tập sau kỳ thi chính)"</f>
        <v>THỐNG KÊ KẾT QUẢ HỌC TẬP
(căn cứ vào điểm trung bình chung học tập sau kỳ thi chính)</v>
      </c>
      <c r="B92" s="530"/>
      <c r="C92" s="530"/>
      <c r="D92" s="530"/>
      <c r="E92" s="530"/>
      <c r="F92" s="530"/>
      <c r="G92" s="530"/>
      <c r="H92" s="524" t="str">
        <f>"SL = "&amp;MAX($A$11:$A$80)</f>
        <v>SL = 50</v>
      </c>
      <c r="I92" s="524"/>
      <c r="J92" s="524" t="str">
        <f>"%"</f>
        <v>%</v>
      </c>
      <c r="K92" s="524"/>
    </row>
    <row r="93" spans="1:161" ht="18.75">
      <c r="A93" s="522"/>
      <c r="B93" s="522"/>
      <c r="C93" s="522"/>
      <c r="D93" s="522"/>
      <c r="E93" s="522"/>
      <c r="F93" s="522"/>
      <c r="G93" s="522"/>
      <c r="H93" s="529"/>
      <c r="I93" s="529"/>
      <c r="J93" s="523"/>
      <c r="K93" s="523"/>
    </row>
    <row r="94" spans="1:161" ht="18.75">
      <c r="A94" s="525" t="str">
        <f>"Loại Xuất Sắc"</f>
        <v>Loại Xuất Sắc</v>
      </c>
      <c r="B94" s="525"/>
      <c r="C94" s="525"/>
      <c r="D94" s="526" t="str">
        <f>"(9 đến 10)"</f>
        <v>(9 đến 10)</v>
      </c>
      <c r="E94" s="526"/>
      <c r="F94" s="526"/>
      <c r="G94" s="526"/>
      <c r="H94" s="527" t="str">
        <f>COUNTIF(ET$11:ET$80,"&gt;=9")&amp;"/"&amp;MAX($A$11:$A$80)</f>
        <v>0/50</v>
      </c>
      <c r="I94" s="527"/>
      <c r="J94" s="528" t="str">
        <f>ROUND(100*(COUNTIF(ET$11:ET$80,"&gt;=9"))/MAX($A$11:$A$80),2)&amp;" %"</f>
        <v>0 %</v>
      </c>
      <c r="K94" s="528"/>
    </row>
    <row r="95" spans="1:161" ht="18.75">
      <c r="A95" s="525" t="str">
        <f>"Loại Giỏi"</f>
        <v>Loại Giỏi</v>
      </c>
      <c r="B95" s="525"/>
      <c r="C95" s="525"/>
      <c r="D95" s="526" t="str">
        <f>"(8 đến cận 9)"</f>
        <v>(8 đến cận 9)</v>
      </c>
      <c r="E95" s="526"/>
      <c r="F95" s="526"/>
      <c r="G95" s="526"/>
      <c r="H95" s="527" t="str">
        <f>COUNTIF($ET11:$ET80,"&gt;=8")-COUNTIF($ET11:$ET80,"&gt;=9")&amp;"/"&amp;MAX($A$11:$A$80)</f>
        <v>1/50</v>
      </c>
      <c r="I95" s="527"/>
      <c r="J95" s="528" t="str">
        <f>ROUND(100*(COUNTIF(ET$11:ET$80,"&gt;=8")-COUNTIF(ET$11:ET$80,"&gt;=9"))/MAX($A$11:$A$80),2)&amp;" %"</f>
        <v>2 %</v>
      </c>
      <c r="K95" s="528"/>
    </row>
    <row r="96" spans="1:161" ht="18.75">
      <c r="A96" s="525" t="str">
        <f>"Loại Khá"</f>
        <v>Loại Khá</v>
      </c>
      <c r="B96" s="525"/>
      <c r="C96" s="525"/>
      <c r="D96" s="522" t="s">
        <v>157</v>
      </c>
      <c r="E96" s="522"/>
      <c r="F96" s="522"/>
      <c r="G96" s="522"/>
      <c r="H96" s="527" t="str">
        <f>COUNTIF($ET11:$ET80,"&gt;=7")-COUNTIF($ET11:$ET80,"&gt;=8")&amp;"/"&amp;MAX($A$11:$A$80)</f>
        <v>5/50</v>
      </c>
      <c r="I96" s="527"/>
      <c r="J96" s="528" t="str">
        <f>ROUND(100*(COUNTIF(ET$11:ET$80,"&gt;=7")-COUNTIF(ET$11:ET$80,"&gt;=8"))/MAX($A$11:$A$80),2)&amp;" %"</f>
        <v>10 %</v>
      </c>
      <c r="K96" s="528"/>
    </row>
    <row r="97" spans="1:11" ht="18.75">
      <c r="A97" s="525" t="str">
        <f>"Loại Trung bình"</f>
        <v>Loại Trung bình</v>
      </c>
      <c r="B97" s="525"/>
      <c r="C97" s="525"/>
      <c r="D97" s="522" t="s">
        <v>1000</v>
      </c>
      <c r="E97" s="522"/>
      <c r="F97" s="522"/>
      <c r="G97" s="522"/>
      <c r="H97" s="527" t="str">
        <f>COUNTIF($ET11:$ET80,"&gt;=5.5")-COUNTIF($ET11:$ET80,"&gt;=7")&amp;"/"&amp;MAX($A$11:$A$80)</f>
        <v>29/50</v>
      </c>
      <c r="I97" s="527"/>
      <c r="J97" s="528" t="str">
        <f>ROUND(100*(COUNTIF(ET$11:ET$80,"&gt;=5.5")-COUNTIF(ET$11:ET$80,"&gt;=7"))/MAX($A$11:$A$80),2)&amp;" %"</f>
        <v>58 %</v>
      </c>
      <c r="K97" s="528"/>
    </row>
    <row r="98" spans="1:11" ht="18.75">
      <c r="A98" s="525" t="str">
        <f>"Loại Trung bình yếu"</f>
        <v>Loại Trung bình yếu</v>
      </c>
      <c r="B98" s="525"/>
      <c r="C98" s="525"/>
      <c r="D98" s="522" t="s">
        <v>971</v>
      </c>
      <c r="E98" s="522"/>
      <c r="F98" s="522"/>
      <c r="G98" s="522"/>
      <c r="H98" s="527" t="str">
        <f>COUNTIF($ET11:$ET80,"&gt;=4")-COUNTIF($ET11:$ET80,"&gt;=5.5")&amp;"/"&amp;MAX($A$11:$A$80)</f>
        <v>10/50</v>
      </c>
      <c r="I98" s="527"/>
      <c r="J98" s="528" t="str">
        <f>ROUND(100*(COUNTIF(ET$11:ET$80,"&gt;=4")-COUNTIF(ET$11:ET$80,"&gt;=5.5"))/MAX($A$11:$A$80),2)&amp;" %"</f>
        <v>20 %</v>
      </c>
      <c r="K98" s="528"/>
    </row>
    <row r="99" spans="1:11" ht="18.75">
      <c r="A99" s="525" t="str">
        <f>"Loại Kém"</f>
        <v>Loại Kém</v>
      </c>
      <c r="B99" s="525"/>
      <c r="C99" s="525"/>
      <c r="D99" s="522" t="s">
        <v>972</v>
      </c>
      <c r="E99" s="522"/>
      <c r="F99" s="522"/>
      <c r="G99" s="522"/>
      <c r="H99" s="527" t="str">
        <f>COUNTIF($ET11:$ET80,"&lt;4")&amp;"/"&amp;MAX($A$11:$A$80)</f>
        <v>5/50</v>
      </c>
      <c r="I99" s="527"/>
      <c r="J99" s="528" t="str">
        <f>ROUND(100*(COUNTIF(ET$11:ET$80,"&lt;4"))/MAX($A$11:$A$80),2)&amp;" %"</f>
        <v>10 %</v>
      </c>
      <c r="K99" s="528"/>
    </row>
  </sheetData>
  <sheetProtection password="E4CC" sheet="1" formatCells="0" formatColumns="0" formatRows="0" autoFilter="0"/>
  <mergeCells count="267">
    <mergeCell ref="EG8:ER9"/>
    <mergeCell ref="DH8:DS9"/>
    <mergeCell ref="CU8:DF9"/>
    <mergeCell ref="BQ6:BQ9"/>
    <mergeCell ref="BU7:CF9"/>
    <mergeCell ref="BT7:BT9"/>
    <mergeCell ref="BP6:BP9"/>
    <mergeCell ref="CA1:CA6"/>
    <mergeCell ref="BG8:BG9"/>
    <mergeCell ref="CB1:CB6"/>
    <mergeCell ref="BI6:BI9"/>
    <mergeCell ref="BG6:BH7"/>
    <mergeCell ref="BH8:BH9"/>
    <mergeCell ref="BO6:BO9"/>
    <mergeCell ref="BM6:BM9"/>
    <mergeCell ref="BN6:BN9"/>
    <mergeCell ref="CG7:CG9"/>
    <mergeCell ref="BR6:BR9"/>
    <mergeCell ref="CF1:CF6"/>
    <mergeCell ref="CE1:CE6"/>
    <mergeCell ref="CC1:CC6"/>
    <mergeCell ref="BY1:BY6"/>
    <mergeCell ref="CH1:CH6"/>
    <mergeCell ref="CD1:CD6"/>
    <mergeCell ref="AT8:AT9"/>
    <mergeCell ref="AU8:AU9"/>
    <mergeCell ref="BJ6:BJ9"/>
    <mergeCell ref="BK6:BK9"/>
    <mergeCell ref="DT8:EE9"/>
    <mergeCell ref="BC8:BC9"/>
    <mergeCell ref="BA8:BA9"/>
    <mergeCell ref="BE8:BE9"/>
    <mergeCell ref="BF6:BF9"/>
    <mergeCell ref="AV8:AV9"/>
    <mergeCell ref="AW8:AW9"/>
    <mergeCell ref="AX8:AX9"/>
    <mergeCell ref="AZ6:BC6"/>
    <mergeCell ref="BB8:BB9"/>
    <mergeCell ref="AZ7:BC7"/>
    <mergeCell ref="BZ1:BZ6"/>
    <mergeCell ref="CO1:CO6"/>
    <mergeCell ref="CP1:CP6"/>
    <mergeCell ref="CQ1:CQ6"/>
    <mergeCell ref="BU1:BU6"/>
    <mergeCell ref="BV1:BV6"/>
    <mergeCell ref="BW1:BW6"/>
    <mergeCell ref="BX1:BX6"/>
    <mergeCell ref="CH8:CS9"/>
    <mergeCell ref="P8:P9"/>
    <mergeCell ref="T10:W10"/>
    <mergeCell ref="AP8:AP9"/>
    <mergeCell ref="P10:S10"/>
    <mergeCell ref="A83:G83"/>
    <mergeCell ref="J84:K84"/>
    <mergeCell ref="A84:C84"/>
    <mergeCell ref="H84:I84"/>
    <mergeCell ref="J83:K83"/>
    <mergeCell ref="H83:I83"/>
    <mergeCell ref="N83:U83"/>
    <mergeCell ref="L6:O6"/>
    <mergeCell ref="A4:BS4"/>
    <mergeCell ref="A85:C85"/>
    <mergeCell ref="H85:I85"/>
    <mergeCell ref="J85:K85"/>
    <mergeCell ref="H10:K10"/>
    <mergeCell ref="L10:O10"/>
    <mergeCell ref="AS8:AS9"/>
    <mergeCell ref="M8:M9"/>
    <mergeCell ref="T7:W7"/>
    <mergeCell ref="V8:V9"/>
    <mergeCell ref="W8:W9"/>
    <mergeCell ref="T8:T9"/>
    <mergeCell ref="U8:U9"/>
    <mergeCell ref="O8:O9"/>
    <mergeCell ref="AN10:AQ10"/>
    <mergeCell ref="AR10:AU10"/>
    <mergeCell ref="X10:AA10"/>
    <mergeCell ref="AR7:AU7"/>
    <mergeCell ref="AR8:AR9"/>
    <mergeCell ref="B8:B9"/>
    <mergeCell ref="D84:G84"/>
    <mergeCell ref="D85:G85"/>
    <mergeCell ref="AL8:AL9"/>
    <mergeCell ref="AN7:AQ7"/>
    <mergeCell ref="T6:W6"/>
    <mergeCell ref="AJ6:AM6"/>
    <mergeCell ref="AJ7:AM7"/>
    <mergeCell ref="AF6:AI6"/>
    <mergeCell ref="AF7:AI7"/>
    <mergeCell ref="AN8:AN9"/>
    <mergeCell ref="AO8:AO9"/>
    <mergeCell ref="AQ8:AQ9"/>
    <mergeCell ref="AN6:AQ6"/>
    <mergeCell ref="X8:X9"/>
    <mergeCell ref="Y8:Y9"/>
    <mergeCell ref="AE8:AE9"/>
    <mergeCell ref="AA8:AA9"/>
    <mergeCell ref="AB8:AB9"/>
    <mergeCell ref="X6:AA6"/>
    <mergeCell ref="X7:AA7"/>
    <mergeCell ref="Z8:Z9"/>
    <mergeCell ref="AM8:AM9"/>
    <mergeCell ref="BD84:BM84"/>
    <mergeCell ref="AB83:AI83"/>
    <mergeCell ref="AB84:AI84"/>
    <mergeCell ref="AB10:AE10"/>
    <mergeCell ref="AF10:AI10"/>
    <mergeCell ref="AI8:AI9"/>
    <mergeCell ref="AH8:AH9"/>
    <mergeCell ref="AJ10:AM10"/>
    <mergeCell ref="BD83:BM83"/>
    <mergeCell ref="AV10:AY10"/>
    <mergeCell ref="AK8:AK9"/>
    <mergeCell ref="AC8:AC9"/>
    <mergeCell ref="AD8:AD9"/>
    <mergeCell ref="AJ8:AJ9"/>
    <mergeCell ref="AG8:AG9"/>
    <mergeCell ref="BL6:BL9"/>
    <mergeCell ref="AV6:AY6"/>
    <mergeCell ref="AV7:AY7"/>
    <mergeCell ref="AR6:AU6"/>
    <mergeCell ref="AZ10:BC10"/>
    <mergeCell ref="BD7:BE7"/>
    <mergeCell ref="AY8:AY9"/>
    <mergeCell ref="BD8:BD9"/>
    <mergeCell ref="AZ8:AZ9"/>
    <mergeCell ref="C10:D10"/>
    <mergeCell ref="F8:G8"/>
    <mergeCell ref="E8:E9"/>
    <mergeCell ref="C8:D9"/>
    <mergeCell ref="H8:H9"/>
    <mergeCell ref="I8:I9"/>
    <mergeCell ref="J88:K88"/>
    <mergeCell ref="N8:N9"/>
    <mergeCell ref="J8:J9"/>
    <mergeCell ref="K8:K9"/>
    <mergeCell ref="L8:L9"/>
    <mergeCell ref="A86:C86"/>
    <mergeCell ref="A88:C88"/>
    <mergeCell ref="A87:C87"/>
    <mergeCell ref="D88:G88"/>
    <mergeCell ref="J87:K87"/>
    <mergeCell ref="H88:I88"/>
    <mergeCell ref="H87:I87"/>
    <mergeCell ref="D86:G86"/>
    <mergeCell ref="H86:I86"/>
    <mergeCell ref="A99:C99"/>
    <mergeCell ref="D99:G99"/>
    <mergeCell ref="H99:I99"/>
    <mergeCell ref="J99:K99"/>
    <mergeCell ref="A97:C97"/>
    <mergeCell ref="D97:G97"/>
    <mergeCell ref="H97:I97"/>
    <mergeCell ref="J97:K97"/>
    <mergeCell ref="H95:I95"/>
    <mergeCell ref="J95:K95"/>
    <mergeCell ref="A95:C95"/>
    <mergeCell ref="H96:I96"/>
    <mergeCell ref="J96:K96"/>
    <mergeCell ref="A98:C98"/>
    <mergeCell ref="D98:G98"/>
    <mergeCell ref="H98:I98"/>
    <mergeCell ref="J98:K98"/>
    <mergeCell ref="A96:C96"/>
    <mergeCell ref="D96:G96"/>
    <mergeCell ref="D95:G95"/>
    <mergeCell ref="A93:C93"/>
    <mergeCell ref="J93:K93"/>
    <mergeCell ref="D90:G90"/>
    <mergeCell ref="J92:K92"/>
    <mergeCell ref="A94:C94"/>
    <mergeCell ref="D94:G94"/>
    <mergeCell ref="H94:I94"/>
    <mergeCell ref="J94:K94"/>
    <mergeCell ref="J86:K86"/>
    <mergeCell ref="D93:G93"/>
    <mergeCell ref="H93:I93"/>
    <mergeCell ref="A89:C89"/>
    <mergeCell ref="A92:G92"/>
    <mergeCell ref="H92:I92"/>
    <mergeCell ref="D87:G87"/>
    <mergeCell ref="A90:C90"/>
    <mergeCell ref="H90:I90"/>
    <mergeCell ref="J90:K90"/>
    <mergeCell ref="J89:K89"/>
    <mergeCell ref="H89:I89"/>
    <mergeCell ref="D89:G89"/>
    <mergeCell ref="A1:N1"/>
    <mergeCell ref="A2:N2"/>
    <mergeCell ref="BD1:BS1"/>
    <mergeCell ref="BD2:BS2"/>
    <mergeCell ref="AV1:BC1"/>
    <mergeCell ref="AV2:BC2"/>
    <mergeCell ref="G3:H3"/>
    <mergeCell ref="H6:K6"/>
    <mergeCell ref="B6:G6"/>
    <mergeCell ref="P6:S6"/>
    <mergeCell ref="BD6:BE6"/>
    <mergeCell ref="A6:A9"/>
    <mergeCell ref="BS6:BS9"/>
    <mergeCell ref="AB7:AE7"/>
    <mergeCell ref="Q8:Q9"/>
    <mergeCell ref="R8:R9"/>
    <mergeCell ref="S8:S9"/>
    <mergeCell ref="H7:K7"/>
    <mergeCell ref="B7:G7"/>
    <mergeCell ref="L7:O7"/>
    <mergeCell ref="D3:F3"/>
    <mergeCell ref="AB6:AE6"/>
    <mergeCell ref="AF8:AF9"/>
    <mergeCell ref="P7:S7"/>
    <mergeCell ref="CI1:CI6"/>
    <mergeCell ref="DE1:DE6"/>
    <mergeCell ref="DF1:DF6"/>
    <mergeCell ref="DH1:DH6"/>
    <mergeCell ref="DI1:DI6"/>
    <mergeCell ref="DJ1:DJ6"/>
    <mergeCell ref="CY1:CY6"/>
    <mergeCell ref="CZ1:CZ6"/>
    <mergeCell ref="DA1:DA6"/>
    <mergeCell ref="DB1:DB6"/>
    <mergeCell ref="DC1:DC6"/>
    <mergeCell ref="DD1:DD6"/>
    <mergeCell ref="CJ1:CJ6"/>
    <mergeCell ref="CK1:CK6"/>
    <mergeCell ref="CL1:CL6"/>
    <mergeCell ref="CR1:CR6"/>
    <mergeCell ref="CS1:CS6"/>
    <mergeCell ref="CU1:CU6"/>
    <mergeCell ref="CV1:CV6"/>
    <mergeCell ref="CW1:CW6"/>
    <mergeCell ref="CX1:CX6"/>
    <mergeCell ref="CM1:CM6"/>
    <mergeCell ref="CN1:CN6"/>
    <mergeCell ref="DQ1:DQ6"/>
    <mergeCell ref="DR1:DR6"/>
    <mergeCell ref="DS1:DS6"/>
    <mergeCell ref="DT1:DT6"/>
    <mergeCell ref="DU1:DU6"/>
    <mergeCell ref="DV1:DV6"/>
    <mergeCell ref="DK1:DK6"/>
    <mergeCell ref="DL1:DL6"/>
    <mergeCell ref="DM1:DM6"/>
    <mergeCell ref="DN1:DN6"/>
    <mergeCell ref="DO1:DO6"/>
    <mergeCell ref="DP1:DP6"/>
    <mergeCell ref="EC1:EC6"/>
    <mergeCell ref="ED1:ED6"/>
    <mergeCell ref="EE1:EE6"/>
    <mergeCell ref="EG1:EG6"/>
    <mergeCell ref="EH1:EH6"/>
    <mergeCell ref="EI1:EI6"/>
    <mergeCell ref="DW1:DW6"/>
    <mergeCell ref="DX1:DX6"/>
    <mergeCell ref="DY1:DY6"/>
    <mergeCell ref="DZ1:DZ6"/>
    <mergeCell ref="EA1:EA6"/>
    <mergeCell ref="EB1:EB6"/>
    <mergeCell ref="EP1:EP6"/>
    <mergeCell ref="EQ1:EQ6"/>
    <mergeCell ref="ER1:ER6"/>
    <mergeCell ref="EJ1:EJ6"/>
    <mergeCell ref="EK1:EK6"/>
    <mergeCell ref="EL1:EL6"/>
    <mergeCell ref="EM1:EM6"/>
    <mergeCell ref="EN1:EN6"/>
    <mergeCell ref="EO1:EO6"/>
  </mergeCells>
  <phoneticPr fontId="9" type="noConversion"/>
  <conditionalFormatting sqref="BM11:BM80 BK11:BK80">
    <cfRule type="cellIs" dxfId="24" priority="10" stopIfTrue="1" operator="lessThanOrEqual">
      <formula>15</formula>
    </cfRule>
  </conditionalFormatting>
  <conditionalFormatting sqref="BO11:BO80 BQ11:BQ80">
    <cfRule type="cellIs" dxfId="23" priority="15" stopIfTrue="1" operator="lessThanOrEqual">
      <formula>5.5</formula>
    </cfRule>
  </conditionalFormatting>
  <conditionalFormatting sqref="BP11:BP80 BR11:BR80">
    <cfRule type="cellIs" dxfId="22" priority="16" stopIfTrue="1" operator="equal">
      <formula>"Y"</formula>
    </cfRule>
  </conditionalFormatting>
  <conditionalFormatting sqref="M11:M43 M45:M80">
    <cfRule type="cellIs" dxfId="21" priority="11" stopIfTrue="1" operator="lessThan">
      <formula>5</formula>
    </cfRule>
  </conditionalFormatting>
  <conditionalFormatting sqref="I11:I80 Y11:Y80 Q11:Q80 U11:U80 AC11:AC80 AG11:AG80 AK11:AK80 AS11:AS80 AW11:AW80 BA11:BA80">
    <cfRule type="cellIs" dxfId="20" priority="21" stopIfTrue="1" operator="lessThan">
      <formula>4</formula>
    </cfRule>
  </conditionalFormatting>
  <conditionalFormatting sqref="K11:K80 AA11:AA80 O11:O80 S11:S80 W11:W80 AE11:AE80 AI11:AI80">
    <cfRule type="cellIs" dxfId="19" priority="22" stopIfTrue="1" operator="lessThan">
      <formula>4</formula>
    </cfRule>
  </conditionalFormatting>
  <conditionalFormatting sqref="BD11:BE80">
    <cfRule type="cellIs" dxfId="18" priority="23" stopIfTrue="1" operator="lessThan">
      <formula>4</formula>
    </cfRule>
    <cfRule type="cellIs" dxfId="17" priority="24" stopIfTrue="1" operator="lessThan">
      <formula>5.5</formula>
    </cfRule>
  </conditionalFormatting>
  <conditionalFormatting sqref="M44">
    <cfRule type="cellIs" dxfId="16" priority="9" stopIfTrue="1" operator="lessThan">
      <formula>4</formula>
    </cfRule>
  </conditionalFormatting>
  <conditionalFormatting sqref="I11:I80 M11:M80 Q11:Q80 U11:U80 Y11:Y80 AC11:AC80 AG11:AG80 AK11:AK80 AS11:AS80 AW11:AW80 BA11:BA80">
    <cfRule type="cellIs" dxfId="15" priority="7" stopIfTrue="1" operator="lessThan">
      <formula>4</formula>
    </cfRule>
    <cfRule type="cellIs" dxfId="14" priority="8" stopIfTrue="1" operator="lessThan">
      <formula>5</formula>
    </cfRule>
  </conditionalFormatting>
  <conditionalFormatting sqref="AO11:AO80">
    <cfRule type="cellIs" dxfId="13" priority="3" stopIfTrue="1" operator="lessThan">
      <formula>4</formula>
    </cfRule>
  </conditionalFormatting>
  <conditionalFormatting sqref="AO11:AO80">
    <cfRule type="cellIs" dxfId="12" priority="1" stopIfTrue="1" operator="lessThan">
      <formula>4</formula>
    </cfRule>
    <cfRule type="cellIs" dxfId="11" priority="2" stopIfTrue="1" operator="lessThan">
      <formula>5</formula>
    </cfRule>
  </conditionalFormatting>
  <printOptions horizontalCentered="1"/>
  <pageMargins left="0.25" right="0.25" top="0.25" bottom="0.5" header="0.25" footer="0.25"/>
  <pageSetup paperSize="8" scale="29"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Q91"/>
  <sheetViews>
    <sheetView view="pageBreakPreview" topLeftCell="A41" zoomScale="115" zoomScaleSheetLayoutView="115" workbookViewId="0">
      <selection activeCell="A58" sqref="A58:IV58"/>
    </sheetView>
  </sheetViews>
  <sheetFormatPr defaultColWidth="6" defaultRowHeight="12.75"/>
  <cols>
    <col min="1" max="1" width="3.85546875" style="136" bestFit="1" customWidth="1"/>
    <col min="2" max="2" width="11.5703125" style="136" bestFit="1" customWidth="1"/>
    <col min="3" max="3" width="21.85546875" style="136" customWidth="1"/>
    <col min="4" max="4" width="7.7109375" style="136" customWidth="1"/>
    <col min="5" max="5" width="6.5703125" style="136" customWidth="1"/>
    <col min="6" max="11" width="6.7109375" style="136" customWidth="1"/>
    <col min="12" max="12" width="7.5703125" style="136" customWidth="1"/>
    <col min="13" max="13" width="9.140625" style="136" customWidth="1"/>
    <col min="14" max="14" width="7.5703125" style="136" customWidth="1"/>
    <col min="15" max="15" width="7.42578125" style="147" hidden="1" customWidth="1"/>
    <col min="16" max="17" width="7.42578125" style="136" hidden="1" customWidth="1"/>
    <col min="18" max="18" width="6" style="136" customWidth="1"/>
    <col min="19" max="16384" width="6" style="136"/>
  </cols>
  <sheetData>
    <row r="1" spans="1:17" ht="15.75">
      <c r="A1" s="633" t="s">
        <v>2695</v>
      </c>
      <c r="B1" s="633"/>
      <c r="C1" s="633"/>
      <c r="D1" s="633"/>
      <c r="E1" s="633"/>
      <c r="F1" s="633"/>
      <c r="G1" s="140"/>
      <c r="H1" s="632" t="s">
        <v>249</v>
      </c>
      <c r="I1" s="632"/>
      <c r="J1" s="632"/>
      <c r="K1" s="632"/>
      <c r="L1" s="632"/>
      <c r="M1" s="632"/>
      <c r="N1" s="632"/>
      <c r="O1" s="155"/>
    </row>
    <row r="2" spans="1:17" ht="29.25" customHeight="1">
      <c r="A2" s="631" t="s">
        <v>2687</v>
      </c>
      <c r="B2" s="632"/>
      <c r="C2" s="632"/>
      <c r="D2" s="632"/>
      <c r="E2" s="632"/>
      <c r="F2" s="632"/>
      <c r="G2" s="157"/>
      <c r="H2" s="638" t="s">
        <v>250</v>
      </c>
      <c r="I2" s="638"/>
      <c r="J2" s="638"/>
      <c r="K2" s="638"/>
      <c r="L2" s="638"/>
      <c r="M2" s="638"/>
      <c r="N2" s="638"/>
      <c r="O2" s="155"/>
    </row>
    <row r="3" spans="1:17" ht="19.5" customHeight="1">
      <c r="A3" s="633"/>
      <c r="B3" s="633"/>
      <c r="C3" s="633"/>
      <c r="D3" s="633"/>
      <c r="E3" s="633"/>
      <c r="F3" s="633"/>
      <c r="G3" s="156"/>
      <c r="H3" s="156"/>
      <c r="I3" s="156"/>
      <c r="J3" s="178"/>
      <c r="K3" s="156"/>
      <c r="L3" s="156"/>
      <c r="M3" s="156"/>
      <c r="N3" s="156"/>
      <c r="O3" s="137"/>
    </row>
    <row r="4" spans="1:17" ht="21" customHeight="1">
      <c r="A4" s="635" t="s">
        <v>251</v>
      </c>
      <c r="B4" s="635"/>
      <c r="C4" s="635"/>
      <c r="D4" s="635"/>
      <c r="E4" s="635"/>
      <c r="F4" s="635"/>
      <c r="G4" s="635"/>
      <c r="H4" s="635"/>
      <c r="I4" s="635"/>
      <c r="J4" s="635"/>
      <c r="K4" s="635"/>
      <c r="L4" s="635"/>
      <c r="M4" s="635"/>
      <c r="N4" s="635"/>
      <c r="O4" s="635"/>
    </row>
    <row r="5" spans="1:17" ht="11.25" customHeight="1">
      <c r="A5" s="635"/>
      <c r="B5" s="635"/>
      <c r="C5" s="635"/>
      <c r="D5" s="635"/>
      <c r="E5" s="635"/>
      <c r="F5" s="635"/>
      <c r="G5" s="635"/>
      <c r="H5" s="635"/>
      <c r="I5" s="635"/>
      <c r="J5" s="635"/>
      <c r="K5" s="635"/>
      <c r="L5" s="635"/>
      <c r="M5" s="635"/>
      <c r="N5" s="635"/>
      <c r="O5" s="635"/>
    </row>
    <row r="6" spans="1:17" s="139" customFormat="1" ht="17.25" customHeight="1">
      <c r="A6" s="652" t="s">
        <v>252</v>
      </c>
      <c r="B6" s="652"/>
      <c r="C6" s="637" t="str">
        <f>IF($L$6="","",IF(VLOOKUP($L$6,'LOP-MON'!$B$2:$N$43,2,FALSE)=0,"",VLOOKUP($L$6,'LOP-MON'!$B$2:$N$43,2,FALSE)))</f>
        <v>Đường lối CM của Đảng cộng sản VN</v>
      </c>
      <c r="D6" s="637"/>
      <c r="E6" s="637"/>
      <c r="F6" s="637"/>
      <c r="G6" s="636" t="s">
        <v>271</v>
      </c>
      <c r="H6" s="636"/>
      <c r="I6" s="183">
        <f>IF(L6="","",IF(VLOOKUP(CONCATENATE("TC",MID(L6,1,4),MID(L6,6,3)),'LOP-MON'!$B$2:$N$43,2,FALSE)=0,"",VLOOKUP(CONCATENATE("TC",MID(L6,1,4),MID(L6,6,3)),'LOP-MON'!$B$2:$N$43,2,FALSE)))</f>
        <v>3</v>
      </c>
      <c r="K6" s="19" t="s">
        <v>187</v>
      </c>
      <c r="L6" s="637" t="str">
        <f>HKI!$D$3</f>
        <v>13CĐ-Đ1</v>
      </c>
      <c r="M6" s="637"/>
      <c r="O6" s="24"/>
    </row>
    <row r="7" spans="1:17" s="140" customFormat="1" ht="17.25" customHeight="1">
      <c r="C7" s="141" t="s">
        <v>253</v>
      </c>
      <c r="D7" s="634" t="s">
        <v>2693</v>
      </c>
      <c r="E7" s="634"/>
      <c r="H7" s="634" t="s">
        <v>254</v>
      </c>
      <c r="I7" s="634"/>
      <c r="J7" s="634" t="s">
        <v>2694</v>
      </c>
      <c r="K7" s="634"/>
      <c r="L7" s="634"/>
      <c r="N7" s="19"/>
      <c r="O7" s="100"/>
    </row>
    <row r="8" spans="1:17" s="139" customFormat="1" ht="15" customHeight="1">
      <c r="A8" s="646" t="s">
        <v>255</v>
      </c>
      <c r="B8" s="646" t="s">
        <v>188</v>
      </c>
      <c r="C8" s="646" t="s">
        <v>189</v>
      </c>
      <c r="D8" s="647"/>
      <c r="E8" s="646" t="s">
        <v>259</v>
      </c>
      <c r="F8" s="640" t="s">
        <v>261</v>
      </c>
      <c r="G8" s="640" t="s">
        <v>262</v>
      </c>
      <c r="H8" s="640" t="s">
        <v>263</v>
      </c>
      <c r="I8" s="640" t="s">
        <v>264</v>
      </c>
      <c r="J8" s="640" t="s">
        <v>265</v>
      </c>
      <c r="K8" s="640" t="s">
        <v>266</v>
      </c>
      <c r="L8" s="640" t="s">
        <v>267</v>
      </c>
      <c r="M8" s="640" t="s">
        <v>268</v>
      </c>
      <c r="N8" s="640" t="s">
        <v>260</v>
      </c>
      <c r="O8" s="641" t="s">
        <v>258</v>
      </c>
      <c r="P8" s="639" t="s">
        <v>269</v>
      </c>
      <c r="Q8" s="639" t="s">
        <v>270</v>
      </c>
    </row>
    <row r="9" spans="1:17" s="24" customFormat="1" ht="28.5" customHeight="1">
      <c r="A9" s="646"/>
      <c r="B9" s="646"/>
      <c r="C9" s="646"/>
      <c r="D9" s="647"/>
      <c r="E9" s="646"/>
      <c r="F9" s="640"/>
      <c r="G9" s="640"/>
      <c r="H9" s="640"/>
      <c r="I9" s="640"/>
      <c r="J9" s="640"/>
      <c r="K9" s="640"/>
      <c r="L9" s="640"/>
      <c r="M9" s="640"/>
      <c r="N9" s="640"/>
      <c r="O9" s="641"/>
      <c r="P9" s="639"/>
      <c r="Q9" s="639"/>
    </row>
    <row r="10" spans="1:17" s="24" customFormat="1" ht="15">
      <c r="A10" s="646"/>
      <c r="B10" s="646"/>
      <c r="C10" s="646"/>
      <c r="D10" s="647"/>
      <c r="E10" s="646"/>
      <c r="F10" s="648">
        <v>0.2</v>
      </c>
      <c r="G10" s="640"/>
      <c r="H10" s="640"/>
      <c r="I10" s="640"/>
      <c r="J10" s="640"/>
      <c r="K10" s="640"/>
      <c r="L10" s="6">
        <v>0.3</v>
      </c>
      <c r="M10" s="6">
        <v>0.5</v>
      </c>
      <c r="N10" s="640"/>
      <c r="O10" s="641"/>
      <c r="P10" s="158">
        <v>0.5</v>
      </c>
      <c r="Q10" s="639"/>
    </row>
    <row r="11" spans="1:17" ht="18" customHeight="1">
      <c r="A11" s="123">
        <f>IF(OR($C$6="",$I$6="",$L$6=""),"",IF($B11="","",SUBTOTAL(3,$B$11:B11)))</f>
        <v>1</v>
      </c>
      <c r="B11" s="151" t="str">
        <f>IF(OR($C$6="",$I$6="",$L$6=""),"",IF(HKI!$B11="","",HKI!$B11))</f>
        <v>13D301Đ001</v>
      </c>
      <c r="C11" s="26" t="str">
        <f>IF(OR($C$6="",$I$6="",$L$6=""),"",IF(HKI!$C11="","",HKI!$C11))</f>
        <v>Lương Hoàng Thuận</v>
      </c>
      <c r="D11" s="152" t="str">
        <f>IF(OR($C$6="",$I$6="",$L$6=""),"",IF(HKI!$D11="","",HKI!$D11))</f>
        <v>An</v>
      </c>
      <c r="E11" s="459"/>
      <c r="F11" s="460"/>
      <c r="G11" s="460">
        <v>7</v>
      </c>
      <c r="H11" s="460">
        <v>9</v>
      </c>
      <c r="I11" s="460"/>
      <c r="J11" s="460"/>
      <c r="K11" s="460"/>
      <c r="L11" s="460">
        <v>6.5</v>
      </c>
      <c r="M11" s="460">
        <v>7</v>
      </c>
      <c r="N11" s="142">
        <f>IF($B11="","",IF(ISNUMBER($E11)=TRUE,$E11,IF(COUNT($F11:$M11)=0,"",IF(COUNT($F11:$K11)=0,ROUND(0.3*$L11+0.5*$M11,1),ROUND(0.2*(SUM($F11:$K11)/COUNT($F11:$K11))+0.3*$L11+0.5*$M11,1)))))</f>
        <v>7.1</v>
      </c>
      <c r="O11" s="160" t="str">
        <f t="shared" ref="O11:O75" si="0">IF($B11="","",IF($N11="","KXL",IF($N11&lt;4,"Kém",IF($N11&lt;5.5,"TB Yếu",IF($N11&lt;7,"T.Bình",IF($N11&lt;8.5,"Khá","Giỏi"))))))</f>
        <v>Khá</v>
      </c>
      <c r="P11" s="159" t="str">
        <f>IF(OR($B11="",$C$6&lt;&gt;HKI!$H$6,HKI!$J11=""),"",HKI!$J11)</f>
        <v/>
      </c>
      <c r="Q11" s="159" t="str">
        <f>IF(OR(ISNUMBER($E11)=TRUE,$B11="",$P11=""),"",IF(COUNT($F11:$M11)=0,"",IF($M11&gt;=$P11,$N11,IF(COUNT($F11:$K11)=0,ROUND(0.3*$L11+0.5*$P11,1),ROUND(0.2*(SUM($F11:$K11)/COUNT($F11:$K11))+0.3*$L11+0.5*$P11,1)))))</f>
        <v/>
      </c>
    </row>
    <row r="12" spans="1:17" ht="18" customHeight="1">
      <c r="A12" s="123">
        <f>IF(OR($C$6="",$I$6="",$L$6=""),"",IF($B12="","",SUBTOTAL(3,$B$11:B12)))</f>
        <v>2</v>
      </c>
      <c r="B12" s="151" t="str">
        <f>IF(OR($C$6="",$I$6="",$L$6=""),"",IF(HKI!$B12="","",HKI!$B12))</f>
        <v>13D301Đ004</v>
      </c>
      <c r="C12" s="26" t="str">
        <f>IF(OR($C$6="",$I$6="",$L$6=""),"",IF(HKI!$C12="","",HKI!$C12))</f>
        <v>Đặng Thế</v>
      </c>
      <c r="D12" s="152" t="str">
        <f>IF(OR($C$6="",$I$6="",$L$6=""),"",IF(HKI!$D12="","",HKI!$D12))</f>
        <v>Anh</v>
      </c>
      <c r="E12" s="461"/>
      <c r="F12" s="462"/>
      <c r="G12" s="462">
        <v>7</v>
      </c>
      <c r="H12" s="462">
        <v>7.5</v>
      </c>
      <c r="I12" s="462"/>
      <c r="J12" s="462"/>
      <c r="K12" s="462"/>
      <c r="L12" s="462">
        <v>5.8</v>
      </c>
      <c r="M12" s="462">
        <v>8.5</v>
      </c>
      <c r="N12" s="142">
        <f t="shared" ref="N12:N75" si="1">IF($B12="","",IF(ISNUMBER($E12)=TRUE,$E12,IF(COUNT($F12:$M12)=0,"",IF(COUNT($F12:$K12)=0,ROUND(0.3*$L12+0.5*$M12,1),ROUND(0.2*(SUM($F12:$K12)/COUNT($F12:$K12))+0.3*$L12+0.5*$M12,1)))))</f>
        <v>7.4</v>
      </c>
      <c r="O12" s="160" t="str">
        <f t="shared" si="0"/>
        <v>Khá</v>
      </c>
      <c r="P12" s="159" t="str">
        <f>IF(OR($B12="",$C$6&lt;&gt;HKI!$H$6,HKI!$J12=""),"",HKI!$J12)</f>
        <v/>
      </c>
      <c r="Q12" s="159" t="str">
        <f t="shared" ref="Q12:Q75" si="2">IF(OR(ISNUMBER($E12)=TRUE,$B12="",$P12=""),"",IF(COUNT($F12:$M12)=0,"",IF($M12&gt;=$P12,$N12,IF(COUNT($F12:$K12)=0,ROUND(0.3*$L12+0.5*$P12,1),ROUND(0.2*(SUM($F12:$K12)/COUNT($F12:$K12))+0.3*$L12+0.5*$P12,1)))))</f>
        <v/>
      </c>
    </row>
    <row r="13" spans="1:17" ht="18" customHeight="1">
      <c r="A13" s="123">
        <f>IF(OR($C$6="",$I$6="",$L$6=""),"",IF($B13="","",SUBTOTAL(3,$B$11:B13)))</f>
        <v>3</v>
      </c>
      <c r="B13" s="151" t="str">
        <f>IF(OR($C$6="",$I$6="",$L$6=""),"",IF(HKI!$B13="","",HKI!$B13))</f>
        <v>13D301Đ149</v>
      </c>
      <c r="C13" s="26" t="str">
        <f>IF(OR($C$6="",$I$6="",$L$6=""),"",IF(HKI!$C13="","",HKI!$C13))</f>
        <v>Đỗ Huỳnh</v>
      </c>
      <c r="D13" s="152" t="str">
        <f>IF(OR($C$6="",$I$6="",$L$6=""),"",IF(HKI!$D13="","",HKI!$D13))</f>
        <v>Bảo</v>
      </c>
      <c r="E13" s="461"/>
      <c r="F13" s="462"/>
      <c r="G13" s="462">
        <v>7.5</v>
      </c>
      <c r="H13" s="462">
        <v>7.5</v>
      </c>
      <c r="I13" s="462"/>
      <c r="J13" s="462"/>
      <c r="K13" s="462"/>
      <c r="L13" s="462">
        <v>5.5</v>
      </c>
      <c r="M13" s="462">
        <v>9</v>
      </c>
      <c r="N13" s="142">
        <f t="shared" si="1"/>
        <v>7.7</v>
      </c>
      <c r="O13" s="160" t="str">
        <f t="shared" si="0"/>
        <v>Khá</v>
      </c>
      <c r="P13" s="159" t="str">
        <f>IF(OR($B13="",$C$6&lt;&gt;HKI!$H$6,HKI!$J13=""),"",HKI!$J13)</f>
        <v/>
      </c>
      <c r="Q13" s="159" t="str">
        <f t="shared" si="2"/>
        <v/>
      </c>
    </row>
    <row r="14" spans="1:17" ht="18" customHeight="1">
      <c r="A14" s="123">
        <f>IF(OR($C$6="",$I$6="",$L$6=""),"",IF($B14="","",SUBTOTAL(3,$B$11:B14)))</f>
        <v>4</v>
      </c>
      <c r="B14" s="151" t="str">
        <f>IF(OR($C$6="",$I$6="",$L$6=""),"",IF(HKI!$B14="","",HKI!$B14))</f>
        <v>13D301Đ008</v>
      </c>
      <c r="C14" s="26" t="str">
        <f>IF(OR($C$6="",$I$6="",$L$6=""),"",IF(HKI!$C14="","",HKI!$C14))</f>
        <v>Trương Vũ</v>
      </c>
      <c r="D14" s="152" t="str">
        <f>IF(OR($C$6="",$I$6="",$L$6=""),"",IF(HKI!$D14="","",HKI!$D14))</f>
        <v>Bảo</v>
      </c>
      <c r="E14" s="461"/>
      <c r="F14" s="462"/>
      <c r="G14" s="462">
        <v>6</v>
      </c>
      <c r="H14" s="462">
        <v>8.5</v>
      </c>
      <c r="I14" s="462"/>
      <c r="J14" s="462"/>
      <c r="K14" s="462"/>
      <c r="L14" s="462">
        <v>7</v>
      </c>
      <c r="M14" s="462">
        <v>8.8000000000000007</v>
      </c>
      <c r="N14" s="142">
        <f t="shared" si="1"/>
        <v>8</v>
      </c>
      <c r="O14" s="160" t="str">
        <f t="shared" si="0"/>
        <v>Khá</v>
      </c>
      <c r="P14" s="159" t="str">
        <f>IF(OR($B14="",$C$6&lt;&gt;HKI!$H$6,HKI!$J14=""),"",HKI!$J14)</f>
        <v/>
      </c>
      <c r="Q14" s="159" t="str">
        <f t="shared" si="2"/>
        <v/>
      </c>
    </row>
    <row r="15" spans="1:17" ht="18" customHeight="1">
      <c r="A15" s="123">
        <f>IF(OR($C$6="",$I$6="",$L$6=""),"",IF($B15="","",SUBTOTAL(3,$B$11:B15)))</f>
        <v>5</v>
      </c>
      <c r="B15" s="151" t="str">
        <f>IF(OR($C$6="",$I$6="",$L$6=""),"",IF(HKI!$B15="","",HKI!$B15))</f>
        <v>13D301Đ009</v>
      </c>
      <c r="C15" s="26" t="str">
        <f>IF(OR($C$6="",$I$6="",$L$6=""),"",IF(HKI!$C15="","",HKI!$C15))</f>
        <v>Võ Thành</v>
      </c>
      <c r="D15" s="152" t="str">
        <f>IF(OR($C$6="",$I$6="",$L$6=""),"",IF(HKI!$D15="","",HKI!$D15))</f>
        <v>Bảo</v>
      </c>
      <c r="E15" s="461"/>
      <c r="F15" s="462"/>
      <c r="G15" s="462">
        <v>7.5</v>
      </c>
      <c r="H15" s="462">
        <v>7</v>
      </c>
      <c r="I15" s="462"/>
      <c r="J15" s="462"/>
      <c r="K15" s="462"/>
      <c r="L15" s="462">
        <v>5</v>
      </c>
      <c r="M15" s="462">
        <v>7.3</v>
      </c>
      <c r="N15" s="142">
        <f t="shared" si="1"/>
        <v>6.6</v>
      </c>
      <c r="O15" s="160" t="str">
        <f t="shared" si="0"/>
        <v>T.Bình</v>
      </c>
      <c r="P15" s="159" t="str">
        <f>IF(OR($B15="",$C$6&lt;&gt;HKI!$H$6,HKI!$J15=""),"",HKI!$J15)</f>
        <v/>
      </c>
      <c r="Q15" s="159" t="str">
        <f t="shared" si="2"/>
        <v/>
      </c>
    </row>
    <row r="16" spans="1:17" ht="18" customHeight="1">
      <c r="A16" s="123">
        <f>IF(OR($C$6="",$I$6="",$L$6=""),"",IF($B16="","",SUBTOTAL(3,$B$11:B16)))</f>
        <v>6</v>
      </c>
      <c r="B16" s="151" t="str">
        <f>IF(OR($C$6="",$I$6="",$L$6=""),"",IF(HKI!$B16="","",HKI!$B16))</f>
        <v>13D301Đ013</v>
      </c>
      <c r="C16" s="26" t="str">
        <f>IF(OR($C$6="",$I$6="",$L$6=""),"",IF(HKI!$C16="","",HKI!$C16))</f>
        <v>Nguyễn Chí</v>
      </c>
      <c r="D16" s="152" t="str">
        <f>IF(OR($C$6="",$I$6="",$L$6=""),"",IF(HKI!$D16="","",HKI!$D16))</f>
        <v>Bình</v>
      </c>
      <c r="E16" s="461"/>
      <c r="F16" s="462"/>
      <c r="G16" s="462">
        <v>6.5</v>
      </c>
      <c r="H16" s="462">
        <v>6</v>
      </c>
      <c r="I16" s="462"/>
      <c r="J16" s="462"/>
      <c r="K16" s="462"/>
      <c r="L16" s="462">
        <v>6.5</v>
      </c>
      <c r="M16" s="462">
        <v>7</v>
      </c>
      <c r="N16" s="142">
        <f t="shared" si="1"/>
        <v>6.7</v>
      </c>
      <c r="O16" s="160" t="str">
        <f t="shared" si="0"/>
        <v>T.Bình</v>
      </c>
      <c r="P16" s="159" t="str">
        <f>IF(OR($B16="",$C$6&lt;&gt;HKI!$H$6,HKI!$J16=""),"",HKI!$J16)</f>
        <v/>
      </c>
      <c r="Q16" s="159" t="str">
        <f t="shared" si="2"/>
        <v/>
      </c>
    </row>
    <row r="17" spans="1:17" ht="18" customHeight="1">
      <c r="A17" s="123">
        <f>IF(OR($C$6="",$I$6="",$L$6=""),"",IF($B17="","",SUBTOTAL(3,$B$11:B17)))</f>
        <v>7</v>
      </c>
      <c r="B17" s="151" t="str">
        <f>IF(OR($C$6="",$I$6="",$L$6=""),"",IF(HKI!$B17="","",HKI!$B17))</f>
        <v>13D301Đ016</v>
      </c>
      <c r="C17" s="26" t="str">
        <f>IF(OR($C$6="",$I$6="",$L$6=""),"",IF(HKI!$C17="","",HKI!$C17))</f>
        <v>Vũ Văn</v>
      </c>
      <c r="D17" s="152" t="str">
        <f>IF(OR($C$6="",$I$6="",$L$6=""),"",IF(HKI!$D17="","",HKI!$D17))</f>
        <v>Chiến</v>
      </c>
      <c r="E17" s="461"/>
      <c r="F17" s="462"/>
      <c r="G17" s="462">
        <v>5</v>
      </c>
      <c r="H17" s="462">
        <v>8</v>
      </c>
      <c r="I17" s="462"/>
      <c r="J17" s="462"/>
      <c r="K17" s="462"/>
      <c r="L17" s="462">
        <v>5.5</v>
      </c>
      <c r="M17" s="462">
        <v>7.3</v>
      </c>
      <c r="N17" s="142">
        <f t="shared" si="1"/>
        <v>6.6</v>
      </c>
      <c r="O17" s="160" t="str">
        <f t="shared" si="0"/>
        <v>T.Bình</v>
      </c>
      <c r="P17" s="159" t="str">
        <f>IF(OR($B17="",$C$6&lt;&gt;HKI!$H$6,HKI!$J17=""),"",HKI!$J17)</f>
        <v/>
      </c>
      <c r="Q17" s="159" t="str">
        <f t="shared" si="2"/>
        <v/>
      </c>
    </row>
    <row r="18" spans="1:17" ht="18" customHeight="1">
      <c r="A18" s="123">
        <f>IF(OR($C$6="",$I$6="",$L$6=""),"",IF($B18="","",SUBTOTAL(3,$B$11:B18)))</f>
        <v>8</v>
      </c>
      <c r="B18" s="151" t="str">
        <f>IF(OR($C$6="",$I$6="",$L$6=""),"",IF(HKI!$B18="","",HKI!$B18))</f>
        <v>13D301Đ017</v>
      </c>
      <c r="C18" s="26" t="str">
        <f>IF(OR($C$6="",$I$6="",$L$6=""),"",IF(HKI!$C18="","",HKI!$C18))</f>
        <v>Trần Văn</v>
      </c>
      <c r="D18" s="152" t="str">
        <f>IF(OR($C$6="",$I$6="",$L$6=""),"",IF(HKI!$D18="","",HKI!$D18))</f>
        <v>Chinh</v>
      </c>
      <c r="E18" s="461"/>
      <c r="F18" s="462"/>
      <c r="G18" s="462">
        <v>7</v>
      </c>
      <c r="H18" s="462">
        <v>7</v>
      </c>
      <c r="I18" s="462"/>
      <c r="J18" s="462"/>
      <c r="K18" s="462"/>
      <c r="L18" s="462">
        <v>5.5</v>
      </c>
      <c r="M18" s="462">
        <v>5</v>
      </c>
      <c r="N18" s="142">
        <f t="shared" si="1"/>
        <v>5.6</v>
      </c>
      <c r="O18" s="160" t="str">
        <f t="shared" si="0"/>
        <v>T.Bình</v>
      </c>
      <c r="P18" s="159" t="str">
        <f>IF(OR($B18="",$C$6&lt;&gt;HKI!$H$6,HKI!$J18=""),"",HKI!$J18)</f>
        <v/>
      </c>
      <c r="Q18" s="159" t="str">
        <f t="shared" si="2"/>
        <v/>
      </c>
    </row>
    <row r="19" spans="1:17" ht="18" customHeight="1">
      <c r="A19" s="123">
        <f>IF(OR($C$6="",$I$6="",$L$6=""),"",IF($B19="","",SUBTOTAL(3,$B$11:B19)))</f>
        <v>9</v>
      </c>
      <c r="B19" s="151" t="str">
        <f>IF(OR($C$6="",$I$6="",$L$6=""),"",IF(HKI!$B19="","",HKI!$B19))</f>
        <v>13D301Đ193</v>
      </c>
      <c r="C19" s="26" t="str">
        <f>IF(OR($C$6="",$I$6="",$L$6=""),"",IF(HKI!$C19="","",HKI!$C19))</f>
        <v>Phạm Công</v>
      </c>
      <c r="D19" s="152" t="str">
        <f>IF(OR($C$6="",$I$6="",$L$6=""),"",IF(HKI!$D19="","",HKI!$D19))</f>
        <v>Chính</v>
      </c>
      <c r="E19" s="461"/>
      <c r="F19" s="462"/>
      <c r="G19" s="462">
        <v>5</v>
      </c>
      <c r="H19" s="462">
        <v>6</v>
      </c>
      <c r="I19" s="462"/>
      <c r="J19" s="462"/>
      <c r="K19" s="462"/>
      <c r="L19" s="462">
        <v>8</v>
      </c>
      <c r="M19" s="462">
        <v>3.5</v>
      </c>
      <c r="N19" s="142">
        <f t="shared" si="1"/>
        <v>5.3</v>
      </c>
      <c r="O19" s="160" t="str">
        <f t="shared" si="0"/>
        <v>TB Yếu</v>
      </c>
      <c r="P19" s="159" t="str">
        <f>IF(OR($B19="",$C$6&lt;&gt;HKI!$H$6,HKI!$J19=""),"",HKI!$J19)</f>
        <v/>
      </c>
      <c r="Q19" s="159" t="str">
        <f t="shared" si="2"/>
        <v/>
      </c>
    </row>
    <row r="20" spans="1:17" ht="18" customHeight="1">
      <c r="A20" s="123">
        <f>IF(OR($C$6="",$I$6="",$L$6=""),"",IF($B20="","",SUBTOTAL(3,$B$11:B20)))</f>
        <v>10</v>
      </c>
      <c r="B20" s="151" t="str">
        <f>IF(OR($C$6="",$I$6="",$L$6=""),"",IF(HKI!$B20="","",HKI!$B20))</f>
        <v>13D301Đ020</v>
      </c>
      <c r="C20" s="26" t="str">
        <f>IF(OR($C$6="",$I$6="",$L$6=""),"",IF(HKI!$C20="","",HKI!$C20))</f>
        <v>Trịnh Lê</v>
      </c>
      <c r="D20" s="152" t="str">
        <f>IF(OR($C$6="",$I$6="",$L$6=""),"",IF(HKI!$D20="","",HKI!$D20))</f>
        <v>Cung</v>
      </c>
      <c r="E20" s="461"/>
      <c r="F20" s="462"/>
      <c r="G20" s="462">
        <v>9</v>
      </c>
      <c r="H20" s="462">
        <v>10</v>
      </c>
      <c r="I20" s="462"/>
      <c r="J20" s="462"/>
      <c r="K20" s="462"/>
      <c r="L20" s="462">
        <v>4.5</v>
      </c>
      <c r="M20" s="462">
        <v>7.5</v>
      </c>
      <c r="N20" s="142">
        <f t="shared" si="1"/>
        <v>7</v>
      </c>
      <c r="O20" s="160" t="str">
        <f t="shared" si="0"/>
        <v>Khá</v>
      </c>
      <c r="P20" s="159" t="str">
        <f>IF(OR($B20="",$C$6&lt;&gt;HKI!$H$6,HKI!$J20=""),"",HKI!$J20)</f>
        <v/>
      </c>
      <c r="Q20" s="159" t="str">
        <f t="shared" si="2"/>
        <v/>
      </c>
    </row>
    <row r="21" spans="1:17" ht="18" customHeight="1">
      <c r="A21" s="123">
        <f>IF(OR($C$6="",$I$6="",$L$6=""),"",IF($B21="","",SUBTOTAL(3,$B$11:B21)))</f>
        <v>11</v>
      </c>
      <c r="B21" s="151" t="str">
        <f>IF(OR($C$6="",$I$6="",$L$6=""),"",IF(HKI!$B21="","",HKI!$B21))</f>
        <v>13D301Đ021</v>
      </c>
      <c r="C21" s="26" t="str">
        <f>IF(OR($C$6="",$I$6="",$L$6=""),"",IF(HKI!$C21="","",HKI!$C21))</f>
        <v>Nguyễn Chí</v>
      </c>
      <c r="D21" s="152" t="str">
        <f>IF(OR($C$6="",$I$6="",$L$6=""),"",IF(HKI!$D21="","",HKI!$D21))</f>
        <v>Cường</v>
      </c>
      <c r="E21" s="461"/>
      <c r="F21" s="462"/>
      <c r="G21" s="462">
        <v>7</v>
      </c>
      <c r="H21" s="462">
        <v>8</v>
      </c>
      <c r="I21" s="462"/>
      <c r="J21" s="462"/>
      <c r="K21" s="462"/>
      <c r="L21" s="462">
        <v>7.8</v>
      </c>
      <c r="M21" s="462">
        <v>7.5</v>
      </c>
      <c r="N21" s="142">
        <f t="shared" si="1"/>
        <v>7.6</v>
      </c>
      <c r="O21" s="160" t="str">
        <f t="shared" si="0"/>
        <v>Khá</v>
      </c>
      <c r="P21" s="159" t="str">
        <f>IF(OR($B21="",$C$6&lt;&gt;HKI!$H$6,HKI!$J21=""),"",HKI!$J21)</f>
        <v/>
      </c>
      <c r="Q21" s="159" t="str">
        <f t="shared" si="2"/>
        <v/>
      </c>
    </row>
    <row r="22" spans="1:17" ht="18" customHeight="1">
      <c r="A22" s="123">
        <f>IF(OR($C$6="",$I$6="",$L$6=""),"",IF($B22="","",SUBTOTAL(3,$B$11:B22)))</f>
        <v>12</v>
      </c>
      <c r="B22" s="151" t="str">
        <f>IF(OR($C$6="",$I$6="",$L$6=""),"",IF(HKI!$B22="","",HKI!$B22))</f>
        <v>13D301Đ033</v>
      </c>
      <c r="C22" s="26" t="str">
        <f>IF(OR($C$6="",$I$6="",$L$6=""),"",IF(HKI!$C22="","",HKI!$C22))</f>
        <v xml:space="preserve">Trương Văn </v>
      </c>
      <c r="D22" s="152" t="str">
        <f>IF(OR($C$6="",$I$6="",$L$6=""),"",IF(HKI!$D22="","",HKI!$D22))</f>
        <v>Đạt</v>
      </c>
      <c r="E22" s="461"/>
      <c r="F22" s="462"/>
      <c r="G22" s="462">
        <v>8.5</v>
      </c>
      <c r="H22" s="462">
        <v>7</v>
      </c>
      <c r="I22" s="462"/>
      <c r="J22" s="462"/>
      <c r="K22" s="462"/>
      <c r="L22" s="462">
        <v>7.5</v>
      </c>
      <c r="M22" s="462">
        <v>7</v>
      </c>
      <c r="N22" s="142">
        <f t="shared" si="1"/>
        <v>7.3</v>
      </c>
      <c r="O22" s="160" t="str">
        <f t="shared" si="0"/>
        <v>Khá</v>
      </c>
      <c r="P22" s="159" t="str">
        <f>IF(OR($B22="",$C$6&lt;&gt;HKI!$H$6,HKI!$J22=""),"",HKI!$J22)</f>
        <v/>
      </c>
      <c r="Q22" s="159" t="str">
        <f t="shared" si="2"/>
        <v/>
      </c>
    </row>
    <row r="23" spans="1:17" ht="18" customHeight="1">
      <c r="A23" s="123">
        <f>IF(OR($C$6="",$I$6="",$L$6=""),"",IF($B23="","",SUBTOTAL(3,$B$11:B23)))</f>
        <v>13</v>
      </c>
      <c r="B23" s="151" t="str">
        <f>IF(OR($C$6="",$I$6="",$L$6=""),"",IF(HKI!$B23="","",HKI!$B23))</f>
        <v>13D301Đ037</v>
      </c>
      <c r="C23" s="26" t="str">
        <f>IF(OR($C$6="",$I$6="",$L$6=""),"",IF(HKI!$C23="","",HKI!$C23))</f>
        <v>Nguyễn Thành</v>
      </c>
      <c r="D23" s="152" t="str">
        <f>IF(OR($C$6="",$I$6="",$L$6=""),"",IF(HKI!$D23="","",HKI!$D23))</f>
        <v>Đông</v>
      </c>
      <c r="E23" s="461"/>
      <c r="F23" s="462"/>
      <c r="G23" s="462">
        <v>7.5</v>
      </c>
      <c r="H23" s="462">
        <v>8.5</v>
      </c>
      <c r="I23" s="462"/>
      <c r="J23" s="462"/>
      <c r="K23" s="462"/>
      <c r="L23" s="462">
        <v>5</v>
      </c>
      <c r="M23" s="462">
        <v>7</v>
      </c>
      <c r="N23" s="142">
        <f t="shared" si="1"/>
        <v>6.6</v>
      </c>
      <c r="O23" s="160" t="str">
        <f t="shared" si="0"/>
        <v>T.Bình</v>
      </c>
      <c r="P23" s="159" t="str">
        <f>IF(OR($B23="",$C$6&lt;&gt;HKI!$H$6,HKI!$J23=""),"",HKI!$J23)</f>
        <v/>
      </c>
      <c r="Q23" s="159" t="str">
        <f t="shared" si="2"/>
        <v/>
      </c>
    </row>
    <row r="24" spans="1:17" ht="18" customHeight="1">
      <c r="A24" s="123">
        <f>IF(OR($C$6="",$I$6="",$L$6=""),"",IF($B24="","",SUBTOTAL(3,$B$11:B24)))</f>
        <v>14</v>
      </c>
      <c r="B24" s="151" t="str">
        <f>IF(OR($C$6="",$I$6="",$L$6=""),"",IF(HKI!$B24="","",HKI!$B24))</f>
        <v>13D301Đ024</v>
      </c>
      <c r="C24" s="26" t="str">
        <f>IF(OR($C$6="",$I$6="",$L$6=""),"",IF(HKI!$C24="","",HKI!$C24))</f>
        <v xml:space="preserve">Trương Công </v>
      </c>
      <c r="D24" s="152" t="str">
        <f>IF(OR($C$6="",$I$6="",$L$6=""),"",IF(HKI!$D24="","",HKI!$D24))</f>
        <v>Duẩn</v>
      </c>
      <c r="E24" s="461"/>
      <c r="F24" s="462"/>
      <c r="G24" s="462">
        <v>9</v>
      </c>
      <c r="H24" s="462">
        <v>10</v>
      </c>
      <c r="I24" s="462"/>
      <c r="J24" s="462"/>
      <c r="K24" s="462"/>
      <c r="L24" s="462">
        <v>4.5</v>
      </c>
      <c r="M24" s="462">
        <v>8.5</v>
      </c>
      <c r="N24" s="142">
        <f t="shared" si="1"/>
        <v>7.5</v>
      </c>
      <c r="O24" s="160" t="str">
        <f t="shared" si="0"/>
        <v>Khá</v>
      </c>
      <c r="P24" s="159" t="str">
        <f>IF(OR($B24="",$C$6&lt;&gt;HKI!$H$6,HKI!$J24=""),"",HKI!$J24)</f>
        <v/>
      </c>
      <c r="Q24" s="159" t="str">
        <f t="shared" si="2"/>
        <v/>
      </c>
    </row>
    <row r="25" spans="1:17" ht="18" customHeight="1">
      <c r="A25" s="123">
        <f>IF(OR($C$6="",$I$6="",$L$6=""),"",IF($B25="","",SUBTOTAL(3,$B$11:B25)))</f>
        <v>15</v>
      </c>
      <c r="B25" s="151" t="str">
        <f>IF(OR($C$6="",$I$6="",$L$6=""),"",IF(HKI!$B25="","",HKI!$B25))</f>
        <v>13D301Đ191</v>
      </c>
      <c r="C25" s="26" t="str">
        <f>IF(OR($C$6="",$I$6="",$L$6=""),"",IF(HKI!$C25="","",HKI!$C25))</f>
        <v>Nguyễn Hiền</v>
      </c>
      <c r="D25" s="152" t="str">
        <f>IF(OR($C$6="",$I$6="",$L$6=""),"",IF(HKI!$D25="","",HKI!$D25))</f>
        <v>Đức</v>
      </c>
      <c r="E25" s="461"/>
      <c r="F25" s="462"/>
      <c r="G25" s="462">
        <v>7</v>
      </c>
      <c r="H25" s="462">
        <v>6</v>
      </c>
      <c r="I25" s="462"/>
      <c r="J25" s="462"/>
      <c r="K25" s="462"/>
      <c r="L25" s="462">
        <v>7.3</v>
      </c>
      <c r="M25" s="462">
        <v>6.5</v>
      </c>
      <c r="N25" s="142">
        <f t="shared" si="1"/>
        <v>6.7</v>
      </c>
      <c r="O25" s="160" t="str">
        <f t="shared" si="0"/>
        <v>T.Bình</v>
      </c>
      <c r="P25" s="159" t="str">
        <f>IF(OR($B25="",$C$6&lt;&gt;HKI!$H$6,HKI!$J25=""),"",HKI!$J25)</f>
        <v/>
      </c>
      <c r="Q25" s="159" t="str">
        <f t="shared" si="2"/>
        <v/>
      </c>
    </row>
    <row r="26" spans="1:17" ht="18" customHeight="1">
      <c r="A26" s="123">
        <f>IF(OR($C$6="",$I$6="",$L$6=""),"",IF($B26="","",SUBTOTAL(3,$B$11:B26)))</f>
        <v>16</v>
      </c>
      <c r="B26" s="151" t="str">
        <f>IF(OR($C$6="",$I$6="",$L$6=""),"",IF(HKI!$B26="","",HKI!$B26))</f>
        <v>13D301Đ040</v>
      </c>
      <c r="C26" s="26" t="str">
        <f>IF(OR($C$6="",$I$6="",$L$6=""),"",IF(HKI!$C26="","",HKI!$C26))</f>
        <v>Nguyễn Văn</v>
      </c>
      <c r="D26" s="152" t="str">
        <f>IF(OR($C$6="",$I$6="",$L$6=""),"",IF(HKI!$D26="","",HKI!$D26))</f>
        <v>Đức</v>
      </c>
      <c r="E26" s="461"/>
      <c r="F26" s="462"/>
      <c r="G26" s="462">
        <v>8.5</v>
      </c>
      <c r="H26" s="462">
        <v>7.5</v>
      </c>
      <c r="I26" s="462"/>
      <c r="J26" s="462"/>
      <c r="K26" s="462"/>
      <c r="L26" s="462">
        <v>5.5</v>
      </c>
      <c r="M26" s="462">
        <v>7</v>
      </c>
      <c r="N26" s="142">
        <f t="shared" si="1"/>
        <v>6.8</v>
      </c>
      <c r="O26" s="160" t="str">
        <f t="shared" si="0"/>
        <v>T.Bình</v>
      </c>
      <c r="P26" s="159" t="str">
        <f>IF(OR($B26="",$C$6&lt;&gt;HKI!$H$6,HKI!$J26=""),"",HKI!$J26)</f>
        <v/>
      </c>
      <c r="Q26" s="159" t="str">
        <f t="shared" si="2"/>
        <v/>
      </c>
    </row>
    <row r="27" spans="1:17" ht="18" customHeight="1">
      <c r="A27" s="123">
        <f>IF(OR($C$6="",$I$6="",$L$6=""),"",IF($B27="","",SUBTOTAL(3,$B$11:B27)))</f>
        <v>17</v>
      </c>
      <c r="B27" s="151" t="str">
        <f>IF(OR($C$6="",$I$6="",$L$6=""),"",IF(HKI!$B27="","",HKI!$B27))</f>
        <v>13D301Đ025</v>
      </c>
      <c r="C27" s="26" t="str">
        <f>IF(OR($C$6="",$I$6="",$L$6=""),"",IF(HKI!$C27="","",HKI!$C27))</f>
        <v>Nguyễn Ngọc</v>
      </c>
      <c r="D27" s="152" t="str">
        <f>IF(OR($C$6="",$I$6="",$L$6=""),"",IF(HKI!$D27="","",HKI!$D27))</f>
        <v>Dũng</v>
      </c>
      <c r="E27" s="461"/>
      <c r="F27" s="462"/>
      <c r="G27" s="462">
        <v>7.5</v>
      </c>
      <c r="H27" s="462">
        <v>8.5</v>
      </c>
      <c r="I27" s="462"/>
      <c r="J27" s="462"/>
      <c r="K27" s="462"/>
      <c r="L27" s="462">
        <v>7.5</v>
      </c>
      <c r="M27" s="462">
        <v>7</v>
      </c>
      <c r="N27" s="142">
        <f t="shared" si="1"/>
        <v>7.4</v>
      </c>
      <c r="O27" s="160" t="str">
        <f t="shared" si="0"/>
        <v>Khá</v>
      </c>
      <c r="P27" s="159" t="str">
        <f>IF(OR($B27="",$C$6&lt;&gt;HKI!$H$6,HKI!$J27=""),"",HKI!$J27)</f>
        <v/>
      </c>
      <c r="Q27" s="159" t="str">
        <f t="shared" si="2"/>
        <v/>
      </c>
    </row>
    <row r="28" spans="1:17" ht="18" customHeight="1">
      <c r="A28" s="123">
        <f>IF(OR($C$6="",$I$6="",$L$6=""),"",IF($B28="","",SUBTOTAL(3,$B$11:B28)))</f>
        <v>18</v>
      </c>
      <c r="B28" s="151" t="str">
        <f>IF(OR($C$6="",$I$6="",$L$6=""),"",IF(HKI!$B28="","",HKI!$B28))</f>
        <v>13D301Đ192</v>
      </c>
      <c r="C28" s="26" t="str">
        <f>IF(OR($C$6="",$I$6="",$L$6=""),"",IF(HKI!$C28="","",HKI!$C28))</f>
        <v>Cao Trùng</v>
      </c>
      <c r="D28" s="152" t="str">
        <f>IF(OR($C$6="",$I$6="",$L$6=""),"",IF(HKI!$D28="","",HKI!$D28))</f>
        <v>Dương</v>
      </c>
      <c r="E28" s="461"/>
      <c r="F28" s="462"/>
      <c r="G28" s="462">
        <v>6</v>
      </c>
      <c r="H28" s="462">
        <v>9</v>
      </c>
      <c r="I28" s="462"/>
      <c r="J28" s="462"/>
      <c r="K28" s="462"/>
      <c r="L28" s="462">
        <v>6.5</v>
      </c>
      <c r="M28" s="462">
        <v>8.5</v>
      </c>
      <c r="N28" s="142">
        <f t="shared" si="1"/>
        <v>7.7</v>
      </c>
      <c r="O28" s="160" t="str">
        <f t="shared" si="0"/>
        <v>Khá</v>
      </c>
      <c r="P28" s="159" t="str">
        <f>IF(OR($B28="",$C$6&lt;&gt;HKI!$H$6,HKI!$J28=""),"",HKI!$J28)</f>
        <v/>
      </c>
      <c r="Q28" s="159" t="str">
        <f t="shared" si="2"/>
        <v/>
      </c>
    </row>
    <row r="29" spans="1:17" ht="18" customHeight="1">
      <c r="A29" s="123">
        <f>IF(OR($C$6="",$I$6="",$L$6=""),"",IF($B29="","",SUBTOTAL(3,$B$11:B29)))</f>
        <v>19</v>
      </c>
      <c r="B29" s="151" t="str">
        <f>IF(OR($C$6="",$I$6="",$L$6=""),"",IF(HKI!$B29="","",HKI!$B29))</f>
        <v>13D301Đ028</v>
      </c>
      <c r="C29" s="26" t="str">
        <f>IF(OR($C$6="",$I$6="",$L$6=""),"",IF(HKI!$C29="","",HKI!$C29))</f>
        <v>Hoàng Văn</v>
      </c>
      <c r="D29" s="152" t="str">
        <f>IF(OR($C$6="",$I$6="",$L$6=""),"",IF(HKI!$D29="","",HKI!$D29))</f>
        <v>Duy</v>
      </c>
      <c r="E29" s="461"/>
      <c r="F29" s="462"/>
      <c r="G29" s="462">
        <v>6</v>
      </c>
      <c r="H29" s="462">
        <v>6</v>
      </c>
      <c r="I29" s="462"/>
      <c r="J29" s="462"/>
      <c r="K29" s="462"/>
      <c r="L29" s="462">
        <v>4.5</v>
      </c>
      <c r="M29" s="462">
        <v>8.5</v>
      </c>
      <c r="N29" s="142">
        <f t="shared" si="1"/>
        <v>6.8</v>
      </c>
      <c r="O29" s="160" t="str">
        <f t="shared" si="0"/>
        <v>T.Bình</v>
      </c>
      <c r="P29" s="159" t="str">
        <f>IF(OR($B29="",$C$6&lt;&gt;HKI!$H$6,HKI!$J29=""),"",HKI!$J29)</f>
        <v/>
      </c>
      <c r="Q29" s="159" t="str">
        <f t="shared" si="2"/>
        <v/>
      </c>
    </row>
    <row r="30" spans="1:17" ht="18" customHeight="1">
      <c r="A30" s="123">
        <f>IF(OR($C$6="",$I$6="",$L$6=""),"",IF($B30="","",SUBTOTAL(3,$B$11:B30)))</f>
        <v>20</v>
      </c>
      <c r="B30" s="151" t="str">
        <f>IF(OR($C$6="",$I$6="",$L$6=""),"",IF(HKI!$B30="","",HKI!$B30))</f>
        <v>13D301Đ181</v>
      </c>
      <c r="C30" s="26" t="str">
        <f>IF(OR($C$6="",$I$6="",$L$6=""),"",IF(HKI!$C30="","",HKI!$C30))</f>
        <v>Lâm Văn</v>
      </c>
      <c r="D30" s="152" t="str">
        <f>IF(OR($C$6="",$I$6="",$L$6=""),"",IF(HKI!$D30="","",HKI!$D30))</f>
        <v>Duy</v>
      </c>
      <c r="E30" s="461"/>
      <c r="F30" s="462"/>
      <c r="G30" s="462">
        <v>6</v>
      </c>
      <c r="H30" s="462">
        <v>6.5</v>
      </c>
      <c r="I30" s="462"/>
      <c r="J30" s="462"/>
      <c r="K30" s="462"/>
      <c r="L30" s="462">
        <v>7.5</v>
      </c>
      <c r="M30" s="462">
        <v>6</v>
      </c>
      <c r="N30" s="142">
        <f t="shared" si="1"/>
        <v>6.5</v>
      </c>
      <c r="O30" s="160" t="str">
        <f t="shared" si="0"/>
        <v>T.Bình</v>
      </c>
      <c r="P30" s="159" t="str">
        <f>IF(OR($B30="",$C$6&lt;&gt;HKI!$H$6,HKI!$J30=""),"",HKI!$J30)</f>
        <v/>
      </c>
      <c r="Q30" s="159" t="str">
        <f t="shared" si="2"/>
        <v/>
      </c>
    </row>
    <row r="31" spans="1:17" ht="18" customHeight="1">
      <c r="A31" s="123">
        <f>IF(OR($C$6="",$I$6="",$L$6=""),"",IF($B31="","",SUBTOTAL(3,$B$11:B31)))</f>
        <v>21</v>
      </c>
      <c r="B31" s="151" t="str">
        <f>IF(OR($C$6="",$I$6="",$L$6=""),"",IF(HKI!$B31="","",HKI!$B31))</f>
        <v>13D301Đ041</v>
      </c>
      <c r="C31" s="26" t="str">
        <f>IF(OR($C$6="",$I$6="",$L$6=""),"",IF(HKI!$C31="","",HKI!$C31))</f>
        <v>Lê Hoàng</v>
      </c>
      <c r="D31" s="152" t="str">
        <f>IF(OR($C$6="",$I$6="",$L$6=""),"",IF(HKI!$D31="","",HKI!$D31))</f>
        <v>Giang</v>
      </c>
      <c r="E31" s="461"/>
      <c r="F31" s="462"/>
      <c r="G31" s="462">
        <v>5</v>
      </c>
      <c r="H31" s="462">
        <v>7</v>
      </c>
      <c r="I31" s="462"/>
      <c r="J31" s="462"/>
      <c r="K31" s="462"/>
      <c r="L31" s="462">
        <v>5.5</v>
      </c>
      <c r="M31" s="462">
        <v>7.5</v>
      </c>
      <c r="N31" s="142">
        <f t="shared" si="1"/>
        <v>6.6</v>
      </c>
      <c r="O31" s="160" t="str">
        <f t="shared" si="0"/>
        <v>T.Bình</v>
      </c>
      <c r="P31" s="159" t="str">
        <f>IF(OR($B31="",$C$6&lt;&gt;HKI!$H$6,HKI!$J31=""),"",HKI!$J31)</f>
        <v/>
      </c>
      <c r="Q31" s="159" t="str">
        <f t="shared" si="2"/>
        <v/>
      </c>
    </row>
    <row r="32" spans="1:17" ht="18" customHeight="1">
      <c r="A32" s="123">
        <f>IF(OR($C$6="",$I$6="",$L$6=""),"",IF($B32="","",SUBTOTAL(3,$B$11:B32)))</f>
        <v>22</v>
      </c>
      <c r="B32" s="151" t="str">
        <f>IF(OR($C$6="",$I$6="",$L$6=""),"",IF(HKI!$B32="","",HKI!$B32))</f>
        <v>13D301Đ045</v>
      </c>
      <c r="C32" s="26" t="str">
        <f>IF(OR($C$6="",$I$6="",$L$6=""),"",IF(HKI!$C32="","",HKI!$C32))</f>
        <v>Lê Công</v>
      </c>
      <c r="D32" s="152" t="str">
        <f>IF(OR($C$6="",$I$6="",$L$6=""),"",IF(HKI!$D32="","",HKI!$D32))</f>
        <v>Hậu</v>
      </c>
      <c r="E32" s="461"/>
      <c r="F32" s="462"/>
      <c r="G32" s="462">
        <v>7</v>
      </c>
      <c r="H32" s="462">
        <v>8</v>
      </c>
      <c r="I32" s="462"/>
      <c r="J32" s="462"/>
      <c r="K32" s="462"/>
      <c r="L32" s="462">
        <v>7</v>
      </c>
      <c r="M32" s="462">
        <v>7.5</v>
      </c>
      <c r="N32" s="142">
        <f t="shared" si="1"/>
        <v>7.4</v>
      </c>
      <c r="O32" s="160" t="str">
        <f t="shared" si="0"/>
        <v>Khá</v>
      </c>
      <c r="P32" s="159" t="str">
        <f>IF(OR($B32="",$C$6&lt;&gt;HKI!$H$6,HKI!$J32=""),"",HKI!$J32)</f>
        <v/>
      </c>
      <c r="Q32" s="159" t="str">
        <f t="shared" si="2"/>
        <v/>
      </c>
    </row>
    <row r="33" spans="1:17" ht="18" customHeight="1">
      <c r="A33" s="123">
        <f>IF(OR($C$6="",$I$6="",$L$6=""),"",IF($B33="","",SUBTOTAL(3,$B$11:B33)))</f>
        <v>23</v>
      </c>
      <c r="B33" s="151" t="str">
        <f>IF(OR($C$6="",$I$6="",$L$6=""),"",IF(HKI!$B33="","",HKI!$B33))</f>
        <v>13D301Đ048</v>
      </c>
      <c r="C33" s="26" t="str">
        <f>IF(OR($C$6="",$I$6="",$L$6=""),"",IF(HKI!$C33="","",HKI!$C33))</f>
        <v>Hồ Văn</v>
      </c>
      <c r="D33" s="152" t="str">
        <f>IF(OR($C$6="",$I$6="",$L$6=""),"",IF(HKI!$D33="","",HKI!$D33))</f>
        <v>Hiệp</v>
      </c>
      <c r="E33" s="461"/>
      <c r="F33" s="462"/>
      <c r="G33" s="462">
        <v>7</v>
      </c>
      <c r="H33" s="462">
        <v>8</v>
      </c>
      <c r="I33" s="462"/>
      <c r="J33" s="462"/>
      <c r="K33" s="462"/>
      <c r="L33" s="462">
        <v>8</v>
      </c>
      <c r="M33" s="462">
        <v>8.5</v>
      </c>
      <c r="N33" s="142">
        <f t="shared" si="1"/>
        <v>8.1999999999999993</v>
      </c>
      <c r="O33" s="160" t="str">
        <f t="shared" si="0"/>
        <v>Khá</v>
      </c>
      <c r="P33" s="159" t="str">
        <f>IF(OR($B33="",$C$6&lt;&gt;HKI!$H$6,HKI!$J33=""),"",HKI!$J33)</f>
        <v/>
      </c>
      <c r="Q33" s="159" t="str">
        <f t="shared" si="2"/>
        <v/>
      </c>
    </row>
    <row r="34" spans="1:17" ht="18" customHeight="1">
      <c r="A34" s="123">
        <f>IF(OR($C$6="",$I$6="",$L$6=""),"",IF($B34="","",SUBTOTAL(3,$B$11:B34)))</f>
        <v>24</v>
      </c>
      <c r="B34" s="151" t="str">
        <f>IF(OR($C$6="",$I$6="",$L$6=""),"",IF(HKI!$B34="","",HKI!$B34))</f>
        <v>13D301Đ049</v>
      </c>
      <c r="C34" s="26" t="str">
        <f>IF(OR($C$6="",$I$6="",$L$6=""),"",IF(HKI!$C34="","",HKI!$C34))</f>
        <v>Lê Minh</v>
      </c>
      <c r="D34" s="152" t="str">
        <f>IF(OR($C$6="",$I$6="",$L$6=""),"",IF(HKI!$D34="","",HKI!$D34))</f>
        <v>Hiếu</v>
      </c>
      <c r="E34" s="461"/>
      <c r="F34" s="462"/>
      <c r="G34" s="462">
        <v>6</v>
      </c>
      <c r="H34" s="462">
        <v>7</v>
      </c>
      <c r="I34" s="462"/>
      <c r="J34" s="462"/>
      <c r="K34" s="462"/>
      <c r="L34" s="462">
        <v>6.5</v>
      </c>
      <c r="M34" s="462">
        <v>7</v>
      </c>
      <c r="N34" s="142">
        <f t="shared" si="1"/>
        <v>6.8</v>
      </c>
      <c r="O34" s="160" t="str">
        <f t="shared" si="0"/>
        <v>T.Bình</v>
      </c>
      <c r="P34" s="159" t="str">
        <f>IF(OR($B34="",$C$6&lt;&gt;HKI!$H$6,HKI!$J34=""),"",HKI!$J34)</f>
        <v/>
      </c>
      <c r="Q34" s="159" t="str">
        <f t="shared" si="2"/>
        <v/>
      </c>
    </row>
    <row r="35" spans="1:17" ht="18" customHeight="1">
      <c r="A35" s="123">
        <f>IF(OR($C$6="",$I$6="",$L$6=""),"",IF($B35="","",SUBTOTAL(3,$B$11:B35)))</f>
        <v>25</v>
      </c>
      <c r="B35" s="151" t="str">
        <f>IF(OR($C$6="",$I$6="",$L$6=""),"",IF(HKI!$B35="","",HKI!$B35))</f>
        <v>13D301Đ053</v>
      </c>
      <c r="C35" s="26" t="str">
        <f>IF(OR($C$6="",$I$6="",$L$6=""),"",IF(HKI!$C35="","",HKI!$C35))</f>
        <v>Nguyễn Ngọc</v>
      </c>
      <c r="D35" s="152" t="str">
        <f>IF(OR($C$6="",$I$6="",$L$6=""),"",IF(HKI!$D35="","",HKI!$D35))</f>
        <v>Hoài</v>
      </c>
      <c r="E35" s="461"/>
      <c r="F35" s="462"/>
      <c r="G35" s="462">
        <v>7</v>
      </c>
      <c r="H35" s="462">
        <v>8</v>
      </c>
      <c r="I35" s="462"/>
      <c r="J35" s="462"/>
      <c r="K35" s="462"/>
      <c r="L35" s="462">
        <v>6</v>
      </c>
      <c r="M35" s="462">
        <v>6.5</v>
      </c>
      <c r="N35" s="142">
        <f t="shared" si="1"/>
        <v>6.6</v>
      </c>
      <c r="O35" s="160" t="str">
        <f t="shared" si="0"/>
        <v>T.Bình</v>
      </c>
      <c r="P35" s="159" t="str">
        <f>IF(OR($B35="",$C$6&lt;&gt;HKI!$H$6,HKI!$J35=""),"",HKI!$J35)</f>
        <v/>
      </c>
      <c r="Q35" s="159" t="str">
        <f t="shared" si="2"/>
        <v/>
      </c>
    </row>
    <row r="36" spans="1:17" ht="18" customHeight="1">
      <c r="A36" s="123">
        <f>IF(OR($C$6="",$I$6="",$L$6=""),"",IF($B36="","",SUBTOTAL(3,$B$11:B36)))</f>
        <v>26</v>
      </c>
      <c r="B36" s="151" t="str">
        <f>IF(OR($C$6="",$I$6="",$L$6=""),"",IF(HKI!$B36="","",HKI!$B36))</f>
        <v>13D301Đ056</v>
      </c>
      <c r="C36" s="26" t="str">
        <f>IF(OR($C$6="",$I$6="",$L$6=""),"",IF(HKI!$C36="","",HKI!$C36))</f>
        <v>Trần Huy</v>
      </c>
      <c r="D36" s="152" t="str">
        <f>IF(OR($C$6="",$I$6="",$L$6=""),"",IF(HKI!$D36="","",HKI!$D36))</f>
        <v>Hoàng</v>
      </c>
      <c r="E36" s="461"/>
      <c r="F36" s="462"/>
      <c r="G36" s="462">
        <v>7</v>
      </c>
      <c r="H36" s="462">
        <v>6.5</v>
      </c>
      <c r="I36" s="462"/>
      <c r="J36" s="462"/>
      <c r="K36" s="462"/>
      <c r="L36" s="462">
        <v>7.8</v>
      </c>
      <c r="M36" s="462">
        <v>8</v>
      </c>
      <c r="N36" s="142">
        <f t="shared" si="1"/>
        <v>7.7</v>
      </c>
      <c r="O36" s="160" t="str">
        <f t="shared" si="0"/>
        <v>Khá</v>
      </c>
      <c r="P36" s="159" t="str">
        <f>IF(OR($B36="",$C$6&lt;&gt;HKI!$H$6,HKI!$J36=""),"",HKI!$J36)</f>
        <v/>
      </c>
      <c r="Q36" s="159" t="str">
        <f t="shared" si="2"/>
        <v/>
      </c>
    </row>
    <row r="37" spans="1:17" ht="18" customHeight="1">
      <c r="A37" s="123">
        <f>IF(OR($C$6="",$I$6="",$L$6=""),"",IF($B37="","",SUBTOTAL(3,$B$11:B37)))</f>
        <v>27</v>
      </c>
      <c r="B37" s="151" t="str">
        <f>IF(OR($C$6="",$I$6="",$L$6=""),"",IF(HKI!$B37="","",HKI!$B37))</f>
        <v>13D301Đ057</v>
      </c>
      <c r="C37" s="26" t="str">
        <f>IF(OR($C$6="",$I$6="",$L$6=""),"",IF(HKI!$C37="","",HKI!$C37))</f>
        <v>Trịnh Thanh</v>
      </c>
      <c r="D37" s="152" t="str">
        <f>IF(OR($C$6="",$I$6="",$L$6=""),"",IF(HKI!$D37="","",HKI!$D37))</f>
        <v>Hoàng</v>
      </c>
      <c r="E37" s="461"/>
      <c r="F37" s="462"/>
      <c r="G37" s="462">
        <v>7.5</v>
      </c>
      <c r="H37" s="462">
        <v>8.5</v>
      </c>
      <c r="I37" s="462"/>
      <c r="J37" s="462"/>
      <c r="K37" s="462"/>
      <c r="L37" s="462">
        <v>7.5</v>
      </c>
      <c r="M37" s="462">
        <v>8</v>
      </c>
      <c r="N37" s="142">
        <f t="shared" si="1"/>
        <v>7.9</v>
      </c>
      <c r="O37" s="160" t="str">
        <f t="shared" si="0"/>
        <v>Khá</v>
      </c>
      <c r="P37" s="159" t="str">
        <f>IF(OR($B37="",$C$6&lt;&gt;HKI!$H$6,HKI!$J37=""),"",HKI!$J37)</f>
        <v/>
      </c>
      <c r="Q37" s="159" t="str">
        <f t="shared" si="2"/>
        <v/>
      </c>
    </row>
    <row r="38" spans="1:17" ht="18" customHeight="1">
      <c r="A38" s="123">
        <f>IF(OR($C$6="",$I$6="",$L$6=""),"",IF($B38="","",SUBTOTAL(3,$B$11:B38)))</f>
        <v>28</v>
      </c>
      <c r="B38" s="151" t="str">
        <f>IF(OR($C$6="",$I$6="",$L$6=""),"",IF(HKI!$B38="","",HKI!$B38))</f>
        <v>13D301Đ201</v>
      </c>
      <c r="C38" s="26" t="str">
        <f>IF(OR($C$6="",$I$6="",$L$6=""),"",IF(HKI!$C38="","",HKI!$C38))</f>
        <v>Nguyễn Quang</v>
      </c>
      <c r="D38" s="152" t="str">
        <f>IF(OR($C$6="",$I$6="",$L$6=""),"",IF(HKI!$D38="","",HKI!$D38))</f>
        <v>Huân</v>
      </c>
      <c r="E38" s="461"/>
      <c r="F38" s="462"/>
      <c r="G38" s="462">
        <v>0</v>
      </c>
      <c r="H38" s="462">
        <v>0</v>
      </c>
      <c r="I38" s="462"/>
      <c r="J38" s="462"/>
      <c r="K38" s="462"/>
      <c r="L38" s="462">
        <v>0</v>
      </c>
      <c r="M38" s="462">
        <v>0</v>
      </c>
      <c r="N38" s="142">
        <f t="shared" si="1"/>
        <v>0</v>
      </c>
      <c r="O38" s="160" t="str">
        <f t="shared" si="0"/>
        <v>Kém</v>
      </c>
      <c r="P38" s="159" t="str">
        <f>IF(OR($B38="",$C$6&lt;&gt;HKI!$H$6,HKI!$J38=""),"",HKI!$J38)</f>
        <v/>
      </c>
      <c r="Q38" s="159" t="str">
        <f t="shared" si="2"/>
        <v/>
      </c>
    </row>
    <row r="39" spans="1:17" ht="18" customHeight="1">
      <c r="A39" s="123">
        <f>IF(OR($C$6="",$I$6="",$L$6=""),"",IF($B39="","",SUBTOTAL(3,$B$11:B39)))</f>
        <v>29</v>
      </c>
      <c r="B39" s="151" t="str">
        <f>IF(OR($C$6="",$I$6="",$L$6=""),"",IF(HKI!$B39="","",HKI!$B39))</f>
        <v>13D301Đ061</v>
      </c>
      <c r="C39" s="26" t="str">
        <f>IF(OR($C$6="",$I$6="",$L$6=""),"",IF(HKI!$C39="","",HKI!$C39))</f>
        <v>Huỳnh Thanh</v>
      </c>
      <c r="D39" s="152" t="str">
        <f>IF(OR($C$6="",$I$6="",$L$6=""),"",IF(HKI!$D39="","",HKI!$D39))</f>
        <v>Hùng</v>
      </c>
      <c r="E39" s="461"/>
      <c r="F39" s="462"/>
      <c r="G39" s="462">
        <v>5</v>
      </c>
      <c r="H39" s="462">
        <v>6</v>
      </c>
      <c r="I39" s="462"/>
      <c r="J39" s="462"/>
      <c r="K39" s="462"/>
      <c r="L39" s="462">
        <v>5</v>
      </c>
      <c r="M39" s="462">
        <v>7</v>
      </c>
      <c r="N39" s="142">
        <f t="shared" si="1"/>
        <v>6.1</v>
      </c>
      <c r="O39" s="160" t="str">
        <f t="shared" si="0"/>
        <v>T.Bình</v>
      </c>
      <c r="P39" s="159" t="str">
        <f>IF(OR($B39="",$C$6&lt;&gt;HKI!$H$6,HKI!$J39=""),"",HKI!$J39)</f>
        <v/>
      </c>
      <c r="Q39" s="159" t="str">
        <f t="shared" si="2"/>
        <v/>
      </c>
    </row>
    <row r="40" spans="1:17" ht="18" customHeight="1">
      <c r="A40" s="123">
        <f>IF(OR($C$6="",$I$6="",$L$6=""),"",IF($B40="","",SUBTOTAL(3,$B$11:B40)))</f>
        <v>30</v>
      </c>
      <c r="B40" s="151" t="str">
        <f>IF(OR($C$6="",$I$6="",$L$6=""),"",IF(HKI!$B40="","",HKI!$B40))</f>
        <v>13D301Đ065</v>
      </c>
      <c r="C40" s="26" t="str">
        <f>IF(OR($C$6="",$I$6="",$L$6=""),"",IF(HKI!$C40="","",HKI!$C40))</f>
        <v>Đoàn Lê Xuân</v>
      </c>
      <c r="D40" s="152" t="str">
        <f>IF(OR($C$6="",$I$6="",$L$6=""),"",IF(HKI!$D40="","",HKI!$D40))</f>
        <v>Huy</v>
      </c>
      <c r="E40" s="461"/>
      <c r="F40" s="462"/>
      <c r="G40" s="462">
        <v>6</v>
      </c>
      <c r="H40" s="462">
        <v>8</v>
      </c>
      <c r="I40" s="462"/>
      <c r="J40" s="462"/>
      <c r="K40" s="462"/>
      <c r="L40" s="462">
        <v>5.5</v>
      </c>
      <c r="M40" s="462">
        <v>7</v>
      </c>
      <c r="N40" s="142">
        <f t="shared" si="1"/>
        <v>6.6</v>
      </c>
      <c r="O40" s="160" t="str">
        <f t="shared" si="0"/>
        <v>T.Bình</v>
      </c>
      <c r="P40" s="159" t="str">
        <f>IF(OR($B40="",$C$6&lt;&gt;HKI!$H$6,HKI!$J40=""),"",HKI!$J40)</f>
        <v/>
      </c>
      <c r="Q40" s="159" t="str">
        <f t="shared" si="2"/>
        <v/>
      </c>
    </row>
    <row r="41" spans="1:17" ht="18" customHeight="1">
      <c r="A41" s="123">
        <f>IF(OR($C$6="",$I$6="",$L$6=""),"",IF($B41="","",SUBTOTAL(3,$B$11:B41)))</f>
        <v>31</v>
      </c>
      <c r="B41" s="151" t="str">
        <f>IF(OR($C$6="",$I$6="",$L$6=""),"",IF(HKI!$B41="","",HKI!$B41))</f>
        <v>13D301Đ073</v>
      </c>
      <c r="C41" s="26" t="str">
        <f>IF(OR($C$6="",$I$6="",$L$6=""),"",IF(HKI!$C41="","",HKI!$C41))</f>
        <v>Trịnh Đại</v>
      </c>
      <c r="D41" s="152" t="str">
        <f>IF(OR($C$6="",$I$6="",$L$6=""),"",IF(HKI!$D41="","",HKI!$D41))</f>
        <v>Lăng</v>
      </c>
      <c r="E41" s="461"/>
      <c r="F41" s="462"/>
      <c r="G41" s="462">
        <v>6</v>
      </c>
      <c r="H41" s="462">
        <v>8</v>
      </c>
      <c r="I41" s="462"/>
      <c r="J41" s="462"/>
      <c r="K41" s="462"/>
      <c r="L41" s="462">
        <v>6.8</v>
      </c>
      <c r="M41" s="462">
        <v>7</v>
      </c>
      <c r="N41" s="142">
        <f t="shared" si="1"/>
        <v>6.9</v>
      </c>
      <c r="O41" s="160" t="str">
        <f t="shared" si="0"/>
        <v>T.Bình</v>
      </c>
      <c r="P41" s="159" t="str">
        <f>IF(OR($B41="",$C$6&lt;&gt;HKI!$H$6,HKI!$J41=""),"",HKI!$J41)</f>
        <v/>
      </c>
      <c r="Q41" s="159" t="str">
        <f t="shared" si="2"/>
        <v/>
      </c>
    </row>
    <row r="42" spans="1:17" ht="18" customHeight="1">
      <c r="A42" s="123">
        <f>IF(OR($C$6="",$I$6="",$L$6=""),"",IF($B42="","",SUBTOTAL(3,$B$11:B42)))</f>
        <v>32</v>
      </c>
      <c r="B42" s="151" t="str">
        <f>IF(OR($C$6="",$I$6="",$L$6=""),"",IF(HKI!$B42="","",HKI!$B42))</f>
        <v>13D301Đ204</v>
      </c>
      <c r="C42" s="26" t="str">
        <f>IF(OR($C$6="",$I$6="",$L$6=""),"",IF(HKI!$C42="","",HKI!$C42))</f>
        <v>Nguyễn Khánh</v>
      </c>
      <c r="D42" s="152" t="str">
        <f>IF(OR($C$6="",$I$6="",$L$6=""),"",IF(HKI!$D42="","",HKI!$D42))</f>
        <v>Linh</v>
      </c>
      <c r="E42" s="461"/>
      <c r="F42" s="462"/>
      <c r="G42" s="462">
        <v>7</v>
      </c>
      <c r="H42" s="462">
        <v>9</v>
      </c>
      <c r="I42" s="462"/>
      <c r="J42" s="462"/>
      <c r="K42" s="462"/>
      <c r="L42" s="462">
        <v>6.5</v>
      </c>
      <c r="M42" s="462">
        <v>7.5</v>
      </c>
      <c r="N42" s="142">
        <f t="shared" si="1"/>
        <v>7.3</v>
      </c>
      <c r="O42" s="160" t="str">
        <f>IF($B42="","",IF($N42="","KXL",IF($N42&lt;4,"Kém",IF($N42&lt;5.5,"TB Yếu",IF($N42&lt;7,"T.Bình",IF($N42&lt;8.5,"Khá","Giỏi"))))))</f>
        <v>Khá</v>
      </c>
      <c r="P42" s="159" t="str">
        <f>IF(OR($B42="",$C$6&lt;&gt;HKI!$H$6,HKI!$J42=""),"",HKI!$J42)</f>
        <v/>
      </c>
      <c r="Q42" s="159" t="str">
        <f t="shared" si="2"/>
        <v/>
      </c>
    </row>
    <row r="43" spans="1:17" ht="18" customHeight="1">
      <c r="A43" s="123">
        <f>IF(OR($C$6="",$I$6="",$L$6=""),"",IF($B43="","",SUBTOTAL(3,$B$11:B43)))</f>
        <v>33</v>
      </c>
      <c r="B43" s="151" t="str">
        <f>IF(OR($C$6="",$I$6="",$L$6=""),"",IF(HKI!$B43="","",HKI!$B43))</f>
        <v>13D301Đ162</v>
      </c>
      <c r="C43" s="26" t="str">
        <f>IF(OR($C$6="",$I$6="",$L$6=""),"",IF(HKI!$C43="","",HKI!$C43))</f>
        <v>Đỗ Văn</v>
      </c>
      <c r="D43" s="152" t="str">
        <f>IF(OR($C$6="",$I$6="",$L$6=""),"",IF(HKI!$D43="","",HKI!$D43))</f>
        <v>Lượng</v>
      </c>
      <c r="E43" s="461"/>
      <c r="F43" s="462"/>
      <c r="G43" s="462">
        <v>8.5</v>
      </c>
      <c r="H43" s="462">
        <v>7.5</v>
      </c>
      <c r="I43" s="462"/>
      <c r="J43" s="462"/>
      <c r="K43" s="462"/>
      <c r="L43" s="462">
        <v>5.5</v>
      </c>
      <c r="M43" s="462">
        <v>7</v>
      </c>
      <c r="N43" s="142">
        <f t="shared" si="1"/>
        <v>6.8</v>
      </c>
      <c r="O43" s="160" t="str">
        <f t="shared" si="0"/>
        <v>T.Bình</v>
      </c>
      <c r="P43" s="159" t="str">
        <f>IF(OR($B43="",$C$6&lt;&gt;HKI!$H$6,HKI!$J43=""),"",HKI!$J43)</f>
        <v/>
      </c>
      <c r="Q43" s="159" t="str">
        <f t="shared" si="2"/>
        <v/>
      </c>
    </row>
    <row r="44" spans="1:17" ht="18" customHeight="1">
      <c r="A44" s="123">
        <f>IF(OR($C$6="",$I$6="",$L$6=""),"",IF($B44="","",SUBTOTAL(3,$B$11:B44)))</f>
        <v>34</v>
      </c>
      <c r="B44" s="151" t="str">
        <f>IF(OR($C$6="",$I$6="",$L$6=""),"",IF(HKI!$B44="","",HKI!$B44))</f>
        <v>13D301Đ081</v>
      </c>
      <c r="C44" s="26" t="str">
        <f>IF(OR($C$6="",$I$6="",$L$6=""),"",IF(HKI!$C44="","",HKI!$C44))</f>
        <v>Mai Đình</v>
      </c>
      <c r="D44" s="152" t="str">
        <f>IF(OR($C$6="",$I$6="",$L$6=""),"",IF(HKI!$D44="","",HKI!$D44))</f>
        <v>Luyện</v>
      </c>
      <c r="E44" s="461"/>
      <c r="F44" s="462"/>
      <c r="G44" s="462">
        <v>7</v>
      </c>
      <c r="H44" s="462">
        <v>8</v>
      </c>
      <c r="I44" s="462"/>
      <c r="J44" s="462"/>
      <c r="K44" s="462"/>
      <c r="L44" s="462">
        <v>6.5</v>
      </c>
      <c r="M44" s="462">
        <v>7</v>
      </c>
      <c r="N44" s="142">
        <f t="shared" si="1"/>
        <v>7</v>
      </c>
      <c r="O44" s="160" t="str">
        <f t="shared" si="0"/>
        <v>Khá</v>
      </c>
      <c r="P44" s="159" t="str">
        <f>IF(OR($B44="",$C$6&lt;&gt;HKI!$H$6,HKI!$J44=""),"",HKI!$J44)</f>
        <v/>
      </c>
      <c r="Q44" s="159" t="str">
        <f t="shared" si="2"/>
        <v/>
      </c>
    </row>
    <row r="45" spans="1:17" ht="18" customHeight="1">
      <c r="A45" s="123">
        <f>IF(OR($C$6="",$I$6="",$L$6=""),"",IF($B45="","",SUBTOTAL(3,$B$11:B45)))</f>
        <v>35</v>
      </c>
      <c r="B45" s="151" t="str">
        <f>IF(OR($C$6="",$I$6="",$L$6=""),"",IF(HKI!$B45="","",HKI!$B45))</f>
        <v>13D301Đ085</v>
      </c>
      <c r="C45" s="26" t="str">
        <f>IF(OR($C$6="",$I$6="",$L$6=""),"",IF(HKI!$C45="","",HKI!$C45))</f>
        <v>Võ Hoài</v>
      </c>
      <c r="D45" s="152" t="str">
        <f>IF(OR($C$6="",$I$6="",$L$6=""),"",IF(HKI!$D45="","",HKI!$D45))</f>
        <v>Nam</v>
      </c>
      <c r="E45" s="461"/>
      <c r="F45" s="462"/>
      <c r="G45" s="462">
        <v>6</v>
      </c>
      <c r="H45" s="462">
        <v>7</v>
      </c>
      <c r="I45" s="462"/>
      <c r="J45" s="462"/>
      <c r="K45" s="462"/>
      <c r="L45" s="462">
        <v>7</v>
      </c>
      <c r="M45" s="462">
        <v>7</v>
      </c>
      <c r="N45" s="142">
        <f t="shared" si="1"/>
        <v>6.9</v>
      </c>
      <c r="O45" s="160" t="str">
        <f t="shared" si="0"/>
        <v>T.Bình</v>
      </c>
      <c r="P45" s="159" t="str">
        <f>IF(OR($B45="",$C$6&lt;&gt;HKI!$H$6,HKI!$J45=""),"",HKI!$J45)</f>
        <v/>
      </c>
      <c r="Q45" s="159" t="str">
        <f t="shared" si="2"/>
        <v/>
      </c>
    </row>
    <row r="46" spans="1:17" ht="18" customHeight="1">
      <c r="A46" s="123">
        <f>IF(OR($C$6="",$I$6="",$L$6=""),"",IF($B46="","",SUBTOTAL(3,$B$11:B46)))</f>
        <v>36</v>
      </c>
      <c r="B46" s="151" t="str">
        <f>IF(OR($C$6="",$I$6="",$L$6=""),"",IF(HKI!$B46="","",HKI!$B46))</f>
        <v>13D301Đ089</v>
      </c>
      <c r="C46" s="26" t="str">
        <f>IF(OR($C$6="",$I$6="",$L$6=""),"",IF(HKI!$C46="","",HKI!$C46))</f>
        <v>Nguyễn Hữu</v>
      </c>
      <c r="D46" s="152" t="str">
        <f>IF(OR($C$6="",$I$6="",$L$6=""),"",IF(HKI!$D46="","",HKI!$D46))</f>
        <v>Nghĩa</v>
      </c>
      <c r="E46" s="461"/>
      <c r="F46" s="462"/>
      <c r="G46" s="462">
        <v>6</v>
      </c>
      <c r="H46" s="462">
        <v>9</v>
      </c>
      <c r="I46" s="462"/>
      <c r="J46" s="462"/>
      <c r="K46" s="462"/>
      <c r="L46" s="462">
        <v>4.5</v>
      </c>
      <c r="M46" s="462">
        <v>7</v>
      </c>
      <c r="N46" s="142">
        <f t="shared" si="1"/>
        <v>6.4</v>
      </c>
      <c r="O46" s="160" t="str">
        <f t="shared" si="0"/>
        <v>T.Bình</v>
      </c>
      <c r="P46" s="159" t="str">
        <f>IF(OR($B46="",$C$6&lt;&gt;HKI!$H$6,HKI!$J46=""),"",HKI!$J46)</f>
        <v/>
      </c>
      <c r="Q46" s="159" t="str">
        <f t="shared" si="2"/>
        <v/>
      </c>
    </row>
    <row r="47" spans="1:17" ht="18" customHeight="1">
      <c r="A47" s="123">
        <f>IF(OR($C$6="",$I$6="",$L$6=""),"",IF($B47="","",SUBTOTAL(3,$B$11:B47)))</f>
        <v>37</v>
      </c>
      <c r="B47" s="151" t="str">
        <f>IF(OR($C$6="",$I$6="",$L$6=""),"",IF(HKI!$B47="","",HKI!$B47))</f>
        <v>13D301Đ097</v>
      </c>
      <c r="C47" s="26" t="str">
        <f>IF(OR($C$6="",$I$6="",$L$6=""),"",IF(HKI!$C47="","",HKI!$C47))</f>
        <v>Nguyễn Thành</v>
      </c>
      <c r="D47" s="152" t="str">
        <f>IF(OR($C$6="",$I$6="",$L$6=""),"",IF(HKI!$D47="","",HKI!$D47))</f>
        <v>Phát</v>
      </c>
      <c r="E47" s="461"/>
      <c r="F47" s="462"/>
      <c r="G47" s="462">
        <v>5</v>
      </c>
      <c r="H47" s="462">
        <v>8</v>
      </c>
      <c r="I47" s="462"/>
      <c r="J47" s="462"/>
      <c r="K47" s="462"/>
      <c r="L47" s="462">
        <v>7.5</v>
      </c>
      <c r="M47" s="462">
        <v>6</v>
      </c>
      <c r="N47" s="142">
        <f t="shared" si="1"/>
        <v>6.6</v>
      </c>
      <c r="O47" s="160" t="str">
        <f t="shared" si="0"/>
        <v>T.Bình</v>
      </c>
      <c r="P47" s="159" t="str">
        <f>IF(OR($B47="",$C$6&lt;&gt;HKI!$H$6,HKI!$J47=""),"",HKI!$J47)</f>
        <v/>
      </c>
      <c r="Q47" s="159" t="str">
        <f t="shared" si="2"/>
        <v/>
      </c>
    </row>
    <row r="48" spans="1:17" ht="18" customHeight="1">
      <c r="A48" s="123">
        <f>IF(OR($C$6="",$I$6="",$L$6=""),"",IF($B48="","",SUBTOTAL(3,$B$11:B48)))</f>
        <v>38</v>
      </c>
      <c r="B48" s="151" t="str">
        <f>IF(OR($C$6="",$I$6="",$L$6=""),"",IF(HKI!$B48="","",HKI!$B48))</f>
        <v>13D301Đ101</v>
      </c>
      <c r="C48" s="26" t="str">
        <f>IF(OR($C$6="",$I$6="",$L$6=""),"",IF(HKI!$C48="","",HKI!$C48))</f>
        <v>Huỳnh Thanh</v>
      </c>
      <c r="D48" s="152" t="str">
        <f>IF(OR($C$6="",$I$6="",$L$6=""),"",IF(HKI!$D48="","",HKI!$D48))</f>
        <v>Phú</v>
      </c>
      <c r="E48" s="461"/>
      <c r="F48" s="462"/>
      <c r="G48" s="462">
        <v>0</v>
      </c>
      <c r="H48" s="462">
        <v>0</v>
      </c>
      <c r="I48" s="462"/>
      <c r="J48" s="462"/>
      <c r="K48" s="462"/>
      <c r="L48" s="462">
        <v>0</v>
      </c>
      <c r="M48" s="462">
        <v>0</v>
      </c>
      <c r="N48" s="142">
        <f t="shared" si="1"/>
        <v>0</v>
      </c>
      <c r="O48" s="160" t="str">
        <f t="shared" si="0"/>
        <v>Kém</v>
      </c>
      <c r="P48" s="159" t="str">
        <f>IF(OR($B48="",$C$6&lt;&gt;HKI!$H$6,HKI!$J48=""),"",HKI!$J48)</f>
        <v/>
      </c>
      <c r="Q48" s="159" t="str">
        <f t="shared" si="2"/>
        <v/>
      </c>
    </row>
    <row r="49" spans="1:17" ht="18" customHeight="1">
      <c r="A49" s="123">
        <f>IF(OR($C$6="",$I$6="",$L$6=""),"",IF($B49="","",SUBTOTAL(3,$B$11:B49)))</f>
        <v>39</v>
      </c>
      <c r="B49" s="151" t="str">
        <f>IF(OR($C$6="",$I$6="",$L$6=""),"",IF(HKI!$B49="","",HKI!$B49))</f>
        <v>13D301Đ117</v>
      </c>
      <c r="C49" s="26" t="str">
        <f>IF(OR($C$6="",$I$6="",$L$6=""),"",IF(HKI!$C49="","",HKI!$C49))</f>
        <v>Trịnh Ngọc</v>
      </c>
      <c r="D49" s="152" t="str">
        <f>IF(OR($C$6="",$I$6="",$L$6=""),"",IF(HKI!$D49="","",HKI!$D49))</f>
        <v>Sơn</v>
      </c>
      <c r="E49" s="461"/>
      <c r="F49" s="462"/>
      <c r="G49" s="462">
        <v>0</v>
      </c>
      <c r="H49" s="462">
        <v>0</v>
      </c>
      <c r="I49" s="462"/>
      <c r="J49" s="462"/>
      <c r="K49" s="462"/>
      <c r="L49" s="462">
        <v>0</v>
      </c>
      <c r="M49" s="462">
        <v>0</v>
      </c>
      <c r="N49" s="142">
        <f t="shared" si="1"/>
        <v>0</v>
      </c>
      <c r="O49" s="160" t="str">
        <f t="shared" si="0"/>
        <v>Kém</v>
      </c>
      <c r="P49" s="159" t="str">
        <f>IF(OR($B49="",$C$6&lt;&gt;HKI!$H$6,HKI!$J49=""),"",HKI!$J49)</f>
        <v/>
      </c>
      <c r="Q49" s="159" t="str">
        <f t="shared" si="2"/>
        <v/>
      </c>
    </row>
    <row r="50" spans="1:17" ht="18" customHeight="1">
      <c r="A50" s="123">
        <f>IF(OR($C$6="",$I$6="",$L$6=""),"",IF($B50="","",SUBTOTAL(3,$B$11:B50)))</f>
        <v>40</v>
      </c>
      <c r="B50" s="151" t="str">
        <f>IF(OR($C$6="",$I$6="",$L$6=""),"",IF(HKI!$B50="","",HKI!$B50))</f>
        <v>13D301Đ121</v>
      </c>
      <c r="C50" s="26" t="str">
        <f>IF(OR($C$6="",$I$6="",$L$6=""),"",IF(HKI!$C50="","",HKI!$C50))</f>
        <v>Lê Minh</v>
      </c>
      <c r="D50" s="152" t="str">
        <f>IF(OR($C$6="",$I$6="",$L$6=""),"",IF(HKI!$D50="","",HKI!$D50))</f>
        <v>Tâm</v>
      </c>
      <c r="E50" s="461"/>
      <c r="F50" s="462"/>
      <c r="G50" s="462">
        <v>7</v>
      </c>
      <c r="H50" s="462">
        <v>8</v>
      </c>
      <c r="I50" s="462"/>
      <c r="J50" s="462"/>
      <c r="K50" s="462"/>
      <c r="L50" s="462">
        <v>2</v>
      </c>
      <c r="M50" s="462">
        <v>6</v>
      </c>
      <c r="N50" s="142">
        <f t="shared" si="1"/>
        <v>5.0999999999999996</v>
      </c>
      <c r="O50" s="160" t="str">
        <f t="shared" si="0"/>
        <v>TB Yếu</v>
      </c>
      <c r="P50" s="159" t="str">
        <f>IF(OR($B50="",$C$6&lt;&gt;HKI!$H$6,HKI!$J50=""),"",HKI!$J50)</f>
        <v/>
      </c>
      <c r="Q50" s="159" t="str">
        <f t="shared" si="2"/>
        <v/>
      </c>
    </row>
    <row r="51" spans="1:17" ht="18" customHeight="1">
      <c r="A51" s="123">
        <f>IF(OR($C$6="",$I$6="",$L$6=""),"",IF($B51="","",SUBTOTAL(3,$B$11:B51)))</f>
        <v>41</v>
      </c>
      <c r="B51" s="151" t="str">
        <f>IF(OR($C$6="",$I$6="",$L$6=""),"",IF(HKI!$B51="","",HKI!$B51))</f>
        <v>13D301Đ124</v>
      </c>
      <c r="C51" s="26" t="str">
        <f>IF(OR($C$6="",$I$6="",$L$6=""),"",IF(HKI!$C51="","",HKI!$C51))</f>
        <v>Cao Nguyễn Nhật</v>
      </c>
      <c r="D51" s="152" t="str">
        <f>IF(OR($C$6="",$I$6="",$L$6=""),"",IF(HKI!$D51="","",HKI!$D51))</f>
        <v>Tân</v>
      </c>
      <c r="E51" s="461"/>
      <c r="F51" s="462"/>
      <c r="G51" s="462">
        <v>7</v>
      </c>
      <c r="H51" s="462">
        <v>8</v>
      </c>
      <c r="I51" s="462"/>
      <c r="J51" s="462"/>
      <c r="K51" s="462"/>
      <c r="L51" s="462">
        <v>6.5</v>
      </c>
      <c r="M51" s="462">
        <v>7</v>
      </c>
      <c r="N51" s="142">
        <f t="shared" si="1"/>
        <v>7</v>
      </c>
      <c r="O51" s="160" t="str">
        <f t="shared" si="0"/>
        <v>Khá</v>
      </c>
      <c r="P51" s="159" t="str">
        <f>IF(OR($B51="",$C$6&lt;&gt;HKI!$H$6,HKI!$J51=""),"",HKI!$J51)</f>
        <v/>
      </c>
      <c r="Q51" s="159" t="str">
        <f t="shared" si="2"/>
        <v/>
      </c>
    </row>
    <row r="52" spans="1:17" ht="18" customHeight="1">
      <c r="A52" s="123">
        <f>IF(OR($C$6="",$I$6="",$L$6=""),"",IF($B52="","",SUBTOTAL(3,$B$11:B52)))</f>
        <v>42</v>
      </c>
      <c r="B52" s="151" t="str">
        <f>IF(OR($C$6="",$I$6="",$L$6=""),"",IF(HKI!$B52="","",HKI!$B52))</f>
        <v>13D301Đ130</v>
      </c>
      <c r="C52" s="26" t="str">
        <f>IF(OR($C$6="",$I$6="",$L$6=""),"",IF(HKI!$C52="","",HKI!$C52))</f>
        <v>Nguyễn Việt</v>
      </c>
      <c r="D52" s="152" t="str">
        <f>IF(OR($C$6="",$I$6="",$L$6=""),"",IF(HKI!$D52="","",HKI!$D52))</f>
        <v>Thắng</v>
      </c>
      <c r="E52" s="461"/>
      <c r="F52" s="462"/>
      <c r="G52" s="462">
        <v>7</v>
      </c>
      <c r="H52" s="462">
        <v>6</v>
      </c>
      <c r="I52" s="462"/>
      <c r="J52" s="462"/>
      <c r="K52" s="462"/>
      <c r="L52" s="462">
        <v>4.8</v>
      </c>
      <c r="M52" s="462">
        <v>5.5</v>
      </c>
      <c r="N52" s="142">
        <f t="shared" si="1"/>
        <v>5.5</v>
      </c>
      <c r="O52" s="160" t="str">
        <f t="shared" si="0"/>
        <v>T.Bình</v>
      </c>
      <c r="P52" s="159" t="str">
        <f>IF(OR($B52="",$C$6&lt;&gt;HKI!$H$6,HKI!$J52=""),"",HKI!$J52)</f>
        <v/>
      </c>
      <c r="Q52" s="159" t="str">
        <f t="shared" si="2"/>
        <v/>
      </c>
    </row>
    <row r="53" spans="1:17" ht="18" customHeight="1">
      <c r="A53" s="123">
        <f>IF(OR($C$6="",$I$6="",$L$6=""),"",IF($B53="","",SUBTOTAL(3,$B$11:B53)))</f>
        <v>43</v>
      </c>
      <c r="B53" s="151" t="str">
        <f>IF(OR($C$6="",$I$6="",$L$6=""),"",IF(HKI!$B53="","",HKI!$B53))</f>
        <v>13D301Đ136</v>
      </c>
      <c r="C53" s="26" t="str">
        <f>IF(OR($C$6="",$I$6="",$L$6=""),"",IF(HKI!$C53="","",HKI!$C53))</f>
        <v>Trần Minh</v>
      </c>
      <c r="D53" s="152" t="str">
        <f>IF(OR($C$6="",$I$6="",$L$6=""),"",IF(HKI!$D53="","",HKI!$D53))</f>
        <v>Thanh</v>
      </c>
      <c r="E53" s="461"/>
      <c r="F53" s="462"/>
      <c r="G53" s="462">
        <v>9</v>
      </c>
      <c r="H53" s="462">
        <v>10</v>
      </c>
      <c r="I53" s="462"/>
      <c r="J53" s="462"/>
      <c r="K53" s="462"/>
      <c r="L53" s="462">
        <v>8.5</v>
      </c>
      <c r="M53" s="462">
        <v>8.5</v>
      </c>
      <c r="N53" s="142">
        <f t="shared" si="1"/>
        <v>8.6999999999999993</v>
      </c>
      <c r="O53" s="160" t="str">
        <f t="shared" si="0"/>
        <v>Giỏi</v>
      </c>
      <c r="P53" s="159" t="str">
        <f>IF(OR($B53="",$C$6&lt;&gt;HKI!$H$6,HKI!$J53=""),"",HKI!$J53)</f>
        <v/>
      </c>
      <c r="Q53" s="159" t="str">
        <f t="shared" si="2"/>
        <v/>
      </c>
    </row>
    <row r="54" spans="1:17" ht="18" customHeight="1">
      <c r="A54" s="123">
        <f>IF(OR($C$6="",$I$6="",$L$6=""),"",IF($B54="","",SUBTOTAL(3,$B$11:B54)))</f>
        <v>44</v>
      </c>
      <c r="B54" s="151" t="str">
        <f>IF(OR($C$6="",$I$6="",$L$6=""),"",IF(HKI!$B54="","",HKI!$B54))</f>
        <v>13D301Đ133</v>
      </c>
      <c r="C54" s="26" t="str">
        <f>IF(OR($C$6="",$I$6="",$L$6=""),"",IF(HKI!$C54="","",HKI!$C54))</f>
        <v>Nguyễn Khắc</v>
      </c>
      <c r="D54" s="152" t="str">
        <f>IF(OR($C$6="",$I$6="",$L$6=""),"",IF(HKI!$D54="","",HKI!$D54))</f>
        <v>Thành</v>
      </c>
      <c r="E54" s="461"/>
      <c r="F54" s="462"/>
      <c r="G54" s="462">
        <v>7</v>
      </c>
      <c r="H54" s="462">
        <v>8</v>
      </c>
      <c r="I54" s="462"/>
      <c r="J54" s="462"/>
      <c r="K54" s="462"/>
      <c r="L54" s="462">
        <v>6.5</v>
      </c>
      <c r="M54" s="462">
        <v>7</v>
      </c>
      <c r="N54" s="142">
        <f t="shared" si="1"/>
        <v>7</v>
      </c>
      <c r="O54" s="160" t="str">
        <f t="shared" si="0"/>
        <v>Khá</v>
      </c>
      <c r="P54" s="159" t="str">
        <f>IF(OR($B54="",$C$6&lt;&gt;HKI!$H$6,HKI!$J54=""),"",HKI!$J54)</f>
        <v/>
      </c>
      <c r="Q54" s="159" t="str">
        <f t="shared" si="2"/>
        <v/>
      </c>
    </row>
    <row r="55" spans="1:17" ht="18" customHeight="1">
      <c r="A55" s="123">
        <f>IF(OR($C$6="",$I$6="",$L$6=""),"",IF($B55="","",SUBTOTAL(3,$B$11:B55)))</f>
        <v>45</v>
      </c>
      <c r="B55" s="151" t="str">
        <f>IF(OR($C$6="",$I$6="",$L$6=""),"",IF(HKI!$B55="","",HKI!$B55))</f>
        <v>13D301Đ169</v>
      </c>
      <c r="C55" s="26" t="str">
        <f>IF(OR($C$6="",$I$6="",$L$6=""),"",IF(HKI!$C55="","",HKI!$C55))</f>
        <v>Nguyễn Thanh</v>
      </c>
      <c r="D55" s="152" t="str">
        <f>IF(OR($C$6="",$I$6="",$L$6=""),"",IF(HKI!$D55="","",HKI!$D55))</f>
        <v>Thảo</v>
      </c>
      <c r="E55" s="461"/>
      <c r="F55" s="462"/>
      <c r="G55" s="462">
        <v>5</v>
      </c>
      <c r="H55" s="462">
        <v>8</v>
      </c>
      <c r="I55" s="462"/>
      <c r="J55" s="462"/>
      <c r="K55" s="462"/>
      <c r="L55" s="462">
        <v>7.5</v>
      </c>
      <c r="M55" s="462">
        <v>4</v>
      </c>
      <c r="N55" s="142">
        <f t="shared" si="1"/>
        <v>5.6</v>
      </c>
      <c r="O55" s="160" t="str">
        <f t="shared" si="0"/>
        <v>T.Bình</v>
      </c>
      <c r="P55" s="159" t="str">
        <f>IF(OR($B55="",$C$6&lt;&gt;HKI!$H$6,HKI!$J55=""),"",HKI!$J55)</f>
        <v/>
      </c>
      <c r="Q55" s="159" t="str">
        <f t="shared" si="2"/>
        <v/>
      </c>
    </row>
    <row r="56" spans="1:17" ht="18" customHeight="1">
      <c r="A56" s="123">
        <f>IF(OR($C$6="",$I$6="",$L$6=""),"",IF($B56="","",SUBTOTAL(3,$B$11:B56)))</f>
        <v>46</v>
      </c>
      <c r="B56" s="151" t="str">
        <f>IF(OR($C$6="",$I$6="",$L$6=""),"",IF(HKI!$B56="","",HKI!$B56))</f>
        <v>13D301Đ154</v>
      </c>
      <c r="C56" s="26" t="str">
        <f>IF(OR($C$6="",$I$6="",$L$6=""),"",IF(HKI!$C56="","",HKI!$C56))</f>
        <v>Võ Đức</v>
      </c>
      <c r="D56" s="152" t="str">
        <f>IF(OR($C$6="",$I$6="",$L$6=""),"",IF(HKI!$D56="","",HKI!$D56))</f>
        <v>Trí</v>
      </c>
      <c r="E56" s="461"/>
      <c r="F56" s="462"/>
      <c r="G56" s="462">
        <v>7</v>
      </c>
      <c r="H56" s="462">
        <v>8</v>
      </c>
      <c r="I56" s="462"/>
      <c r="J56" s="462"/>
      <c r="K56" s="462"/>
      <c r="L56" s="462">
        <v>6</v>
      </c>
      <c r="M56" s="462">
        <v>7</v>
      </c>
      <c r="N56" s="142">
        <f t="shared" si="1"/>
        <v>6.8</v>
      </c>
      <c r="O56" s="160" t="str">
        <f t="shared" si="0"/>
        <v>T.Bình</v>
      </c>
      <c r="P56" s="159" t="str">
        <f>IF(OR($B56="",$C$6&lt;&gt;HKI!$H$6,HKI!$J56=""),"",HKI!$J56)</f>
        <v/>
      </c>
      <c r="Q56" s="159" t="str">
        <f t="shared" si="2"/>
        <v/>
      </c>
    </row>
    <row r="57" spans="1:17" ht="18" customHeight="1">
      <c r="A57" s="123">
        <f>IF(OR($C$6="",$I$6="",$L$6=""),"",IF($B57="","",SUBTOTAL(3,$B$11:B57)))</f>
        <v>47</v>
      </c>
      <c r="B57" s="151" t="str">
        <f>IF(OR($C$6="",$I$6="",$L$6=""),"",IF(HKI!$B57="","",HKI!$B57))</f>
        <v>13D301Đ160</v>
      </c>
      <c r="C57" s="26" t="str">
        <f>IF(OR($C$6="",$I$6="",$L$6=""),"",IF(HKI!$C57="","",HKI!$C57))</f>
        <v>Nguyễn Bá</v>
      </c>
      <c r="D57" s="152" t="str">
        <f>IF(OR($C$6="",$I$6="",$L$6=""),"",IF(HKI!$D57="","",HKI!$D57))</f>
        <v>Trung</v>
      </c>
      <c r="E57" s="461"/>
      <c r="F57" s="462"/>
      <c r="G57" s="462">
        <v>7</v>
      </c>
      <c r="H57" s="462">
        <v>8</v>
      </c>
      <c r="I57" s="462"/>
      <c r="J57" s="462"/>
      <c r="K57" s="462"/>
      <c r="L57" s="462">
        <v>5</v>
      </c>
      <c r="M57" s="462">
        <v>8</v>
      </c>
      <c r="N57" s="142">
        <f t="shared" si="1"/>
        <v>7</v>
      </c>
      <c r="O57" s="160" t="str">
        <f t="shared" si="0"/>
        <v>Khá</v>
      </c>
      <c r="P57" s="159" t="str">
        <f>IF(OR($B57="",$C$6&lt;&gt;HKI!$H$6,HKI!$J57=""),"",HKI!$J57)</f>
        <v/>
      </c>
      <c r="Q57" s="159" t="str">
        <f t="shared" si="2"/>
        <v/>
      </c>
    </row>
    <row r="58" spans="1:17" ht="18" customHeight="1">
      <c r="A58" s="123">
        <f>IF(OR($C$6="",$I$6="",$L$6=""),"",IF($B58="","",SUBTOTAL(3,$B$11:B58)))</f>
        <v>48</v>
      </c>
      <c r="B58" s="151" t="str">
        <f>IF(OR($C$6="",$I$6="",$L$6=""),"",IF(HKI!$B58="","",HKI!$B58))</f>
        <v>13D301Đ163</v>
      </c>
      <c r="C58" s="26" t="str">
        <f>IF(OR($C$6="",$I$6="",$L$6=""),"",IF(HKI!$C58="","",HKI!$C58))</f>
        <v>Mai Ngọc</v>
      </c>
      <c r="D58" s="152" t="str">
        <f>IF(OR($C$6="",$I$6="",$L$6=""),"",IF(HKI!$D58="","",HKI!$D58))</f>
        <v>Trước</v>
      </c>
      <c r="E58" s="461"/>
      <c r="F58" s="462"/>
      <c r="G58" s="462">
        <v>7.5</v>
      </c>
      <c r="H58" s="462">
        <v>7</v>
      </c>
      <c r="I58" s="462"/>
      <c r="J58" s="462"/>
      <c r="K58" s="462"/>
      <c r="L58" s="462">
        <v>8</v>
      </c>
      <c r="M58" s="462">
        <v>8</v>
      </c>
      <c r="N58" s="142">
        <f t="shared" si="1"/>
        <v>7.9</v>
      </c>
      <c r="O58" s="160" t="str">
        <f t="shared" si="0"/>
        <v>Khá</v>
      </c>
      <c r="P58" s="159" t="str">
        <f>IF(OR($B58="",$C$6&lt;&gt;HKI!$H$6,HKI!$J58=""),"",HKI!$J58)</f>
        <v/>
      </c>
      <c r="Q58" s="159" t="str">
        <f t="shared" si="2"/>
        <v/>
      </c>
    </row>
    <row r="59" spans="1:17" ht="18" customHeight="1">
      <c r="A59" s="123">
        <f>IF(OR($C$6="",$I$6="",$L$6=""),"",IF($B59="","",SUBTOTAL(3,$B$11:B59)))</f>
        <v>49</v>
      </c>
      <c r="B59" s="151" t="str">
        <f>IF(OR($C$6="",$I$6="",$L$6=""),"",IF(HKI!$B59="","",HKI!$B59))</f>
        <v>13D301Đ166</v>
      </c>
      <c r="C59" s="26" t="str">
        <f>IF(OR($C$6="",$I$6="",$L$6=""),"",IF(HKI!$C59="","",HKI!$C59))</f>
        <v>Nguyễn Văn</v>
      </c>
      <c r="D59" s="152" t="str">
        <f>IF(OR($C$6="",$I$6="",$L$6=""),"",IF(HKI!$D59="","",HKI!$D59))</f>
        <v>Tư</v>
      </c>
      <c r="E59" s="461"/>
      <c r="F59" s="462"/>
      <c r="G59" s="462">
        <v>0</v>
      </c>
      <c r="H59" s="462">
        <v>0</v>
      </c>
      <c r="I59" s="462"/>
      <c r="J59" s="462"/>
      <c r="K59" s="462"/>
      <c r="L59" s="462">
        <v>0</v>
      </c>
      <c r="M59" s="462">
        <v>0</v>
      </c>
      <c r="N59" s="142">
        <f t="shared" si="1"/>
        <v>0</v>
      </c>
      <c r="O59" s="160" t="str">
        <f t="shared" si="0"/>
        <v>Kém</v>
      </c>
      <c r="P59" s="159" t="str">
        <f>IF(OR($B59="",$C$6&lt;&gt;HKI!$H$6,HKI!$J59=""),"",HKI!$J59)</f>
        <v/>
      </c>
      <c r="Q59" s="159" t="str">
        <f t="shared" si="2"/>
        <v/>
      </c>
    </row>
    <row r="60" spans="1:17" ht="18" customHeight="1">
      <c r="A60" s="123">
        <f>IF(OR($C$6="",$I$6="",$L$6=""),"",IF($B60="","",SUBTOTAL(3,$B$11:B60)))</f>
        <v>50</v>
      </c>
      <c r="B60" s="151" t="str">
        <f>IF(OR($C$6="",$I$6="",$L$6=""),"",IF(HKI!$B60="","",HKI!$B60))</f>
        <v>13D301Đ178</v>
      </c>
      <c r="C60" s="26" t="str">
        <f>IF(OR($C$6="",$I$6="",$L$6=""),"",IF(HKI!$C60="","",HKI!$C60))</f>
        <v>Lê Văn</v>
      </c>
      <c r="D60" s="152" t="str">
        <f>IF(OR($C$6="",$I$6="",$L$6=""),"",IF(HKI!$D60="","",HKI!$D60))</f>
        <v>Vũ</v>
      </c>
      <c r="E60" s="461"/>
      <c r="F60" s="462"/>
      <c r="G60" s="462">
        <v>0</v>
      </c>
      <c r="H60" s="462">
        <v>0</v>
      </c>
      <c r="I60" s="462"/>
      <c r="J60" s="462"/>
      <c r="K60" s="462"/>
      <c r="L60" s="462">
        <v>0</v>
      </c>
      <c r="M60" s="462">
        <v>0</v>
      </c>
      <c r="N60" s="142">
        <f t="shared" si="1"/>
        <v>0</v>
      </c>
      <c r="O60" s="160" t="str">
        <f t="shared" si="0"/>
        <v>Kém</v>
      </c>
      <c r="P60" s="159" t="str">
        <f>IF(OR($B60="",$C$6&lt;&gt;HKI!$H$6,HKI!$J60=""),"",HKI!$J60)</f>
        <v/>
      </c>
      <c r="Q60" s="159" t="str">
        <f t="shared" si="2"/>
        <v/>
      </c>
    </row>
    <row r="61" spans="1:17" ht="18" customHeight="1">
      <c r="A61" s="123" t="str">
        <f>IF(OR($C$6="",$I$6="",$L$6=""),"",IF($B61="","",SUBTOTAL(3,$B$11:B61)))</f>
        <v/>
      </c>
      <c r="B61" s="151" t="str">
        <f>IF(OR($C$6="",$I$6="",$L$6=""),"",IF(HKI!$B61="","",HKI!$B61))</f>
        <v/>
      </c>
      <c r="C61" s="26" t="str">
        <f>IF(OR($C$6="",$I$6="",$L$6=""),"",IF(HKI!$C61="","",HKI!$C61))</f>
        <v/>
      </c>
      <c r="D61" s="152" t="str">
        <f>IF(OR($C$6="",$I$6="",$L$6=""),"",IF(HKI!$D61="","",HKI!$D61))</f>
        <v/>
      </c>
      <c r="E61" s="45"/>
      <c r="F61" s="145"/>
      <c r="G61" s="145"/>
      <c r="H61" s="145"/>
      <c r="I61" s="145"/>
      <c r="J61" s="145"/>
      <c r="K61" s="145"/>
      <c r="L61" s="145"/>
      <c r="M61" s="145"/>
      <c r="N61" s="142" t="str">
        <f t="shared" si="1"/>
        <v/>
      </c>
      <c r="O61" s="160" t="str">
        <f t="shared" si="0"/>
        <v/>
      </c>
      <c r="P61" s="159" t="str">
        <f>IF(OR($B61="",$C$6&lt;&gt;HKI!$H$6,HKI!$J61=""),"",HKI!$J61)</f>
        <v/>
      </c>
      <c r="Q61" s="159" t="str">
        <f t="shared" si="2"/>
        <v/>
      </c>
    </row>
    <row r="62" spans="1:17" ht="18" customHeight="1">
      <c r="A62" s="123" t="str">
        <f>IF(OR($C$6="",$I$6="",$L$6=""),"",IF($B62="","",SUBTOTAL(3,$B$11:B62)))</f>
        <v/>
      </c>
      <c r="B62" s="151" t="str">
        <f>IF(OR($C$6="",$I$6="",$L$6=""),"",IF(HKI!$B62="","",HKI!$B62))</f>
        <v/>
      </c>
      <c r="C62" s="26" t="str">
        <f>IF(OR($C$6="",$I$6="",$L$6=""),"",IF(HKI!$C62="","",HKI!$C62))</f>
        <v/>
      </c>
      <c r="D62" s="152" t="str">
        <f>IF(OR($C$6="",$I$6="",$L$6=""),"",IF(HKI!$D62="","",HKI!$D62))</f>
        <v/>
      </c>
      <c r="E62" s="45"/>
      <c r="F62" s="145"/>
      <c r="G62" s="145"/>
      <c r="H62" s="145"/>
      <c r="I62" s="145"/>
      <c r="J62" s="145"/>
      <c r="K62" s="145"/>
      <c r="L62" s="145"/>
      <c r="M62" s="145"/>
      <c r="N62" s="142" t="str">
        <f t="shared" si="1"/>
        <v/>
      </c>
      <c r="O62" s="160" t="str">
        <f t="shared" si="0"/>
        <v/>
      </c>
      <c r="P62" s="159" t="str">
        <f>IF(OR($B62="",$C$6&lt;&gt;HKI!$H$6,HKI!$J62=""),"",HKI!$J62)</f>
        <v/>
      </c>
      <c r="Q62" s="159" t="str">
        <f t="shared" si="2"/>
        <v/>
      </c>
    </row>
    <row r="63" spans="1:17" ht="18" customHeight="1">
      <c r="A63" s="123" t="str">
        <f>IF(OR($C$6="",$I$6="",$L$6=""),"",IF($B63="","",SUBTOTAL(3,$B$11:B63)))</f>
        <v/>
      </c>
      <c r="B63" s="151" t="str">
        <f>IF(OR($C$6="",$I$6="",$L$6=""),"",IF(HKI!$B63="","",HKI!$B63))</f>
        <v/>
      </c>
      <c r="C63" s="26" t="str">
        <f>IF(OR($C$6="",$I$6="",$L$6=""),"",IF(HKI!$C63="","",HKI!$C63))</f>
        <v/>
      </c>
      <c r="D63" s="152" t="str">
        <f>IF(OR($C$6="",$I$6="",$L$6=""),"",IF(HKI!$D63="","",HKI!$D63))</f>
        <v/>
      </c>
      <c r="E63" s="45"/>
      <c r="F63" s="143"/>
      <c r="G63" s="143"/>
      <c r="H63" s="143"/>
      <c r="I63" s="143"/>
      <c r="J63" s="143"/>
      <c r="K63" s="143"/>
      <c r="L63" s="143"/>
      <c r="M63" s="143"/>
      <c r="N63" s="142" t="str">
        <f t="shared" si="1"/>
        <v/>
      </c>
      <c r="O63" s="160" t="str">
        <f t="shared" si="0"/>
        <v/>
      </c>
      <c r="P63" s="159" t="str">
        <f>IF(OR($B63="",$C$6&lt;&gt;HKI!$H$6,HKI!$J63=""),"",HKI!$J63)</f>
        <v/>
      </c>
      <c r="Q63" s="159" t="str">
        <f t="shared" si="2"/>
        <v/>
      </c>
    </row>
    <row r="64" spans="1:17" ht="18" customHeight="1">
      <c r="A64" s="123" t="str">
        <f>IF(OR($C$6="",$I$6="",$L$6=""),"",IF($B64="","",SUBTOTAL(3,$B$11:B64)))</f>
        <v/>
      </c>
      <c r="B64" s="151" t="str">
        <f>IF(OR($C$6="",$I$6="",$L$6=""),"",IF(HKI!$B64="","",HKI!$B64))</f>
        <v/>
      </c>
      <c r="C64" s="26" t="str">
        <f>IF(OR($C$6="",$I$6="",$L$6=""),"",IF(HKI!$C64="","",HKI!$C64))</f>
        <v/>
      </c>
      <c r="D64" s="152" t="str">
        <f>IF(OR($C$6="",$I$6="",$L$6=""),"",IF(HKI!$D64="","",HKI!$D64))</f>
        <v/>
      </c>
      <c r="E64" s="45"/>
      <c r="F64" s="143"/>
      <c r="G64" s="143"/>
      <c r="H64" s="143"/>
      <c r="I64" s="143"/>
      <c r="J64" s="143"/>
      <c r="K64" s="143"/>
      <c r="L64" s="143"/>
      <c r="M64" s="143"/>
      <c r="N64" s="142" t="str">
        <f t="shared" si="1"/>
        <v/>
      </c>
      <c r="O64" s="160" t="str">
        <f t="shared" si="0"/>
        <v/>
      </c>
      <c r="P64" s="159" t="str">
        <f>IF(OR($B64="",$C$6&lt;&gt;HKI!$H$6,HKI!$J64=""),"",HKI!$J64)</f>
        <v/>
      </c>
      <c r="Q64" s="159" t="str">
        <f t="shared" si="2"/>
        <v/>
      </c>
    </row>
    <row r="65" spans="1:17" ht="18" customHeight="1">
      <c r="A65" s="123" t="str">
        <f>IF(OR($C$6="",$I$6="",$L$6=""),"",IF($B65="","",SUBTOTAL(3,$B$11:B65)))</f>
        <v/>
      </c>
      <c r="B65" s="151" t="str">
        <f>IF(OR($C$6="",$I$6="",$L$6=""),"",IF(HKI!$B65="","",HKI!$B65))</f>
        <v/>
      </c>
      <c r="C65" s="26" t="str">
        <f>IF(OR($C$6="",$I$6="",$L$6=""),"",IF(HKI!$C65="","",HKI!$C65))</f>
        <v/>
      </c>
      <c r="D65" s="152" t="str">
        <f>IF(OR($C$6="",$I$6="",$L$6=""),"",IF(HKI!$D65="","",HKI!$D65))</f>
        <v/>
      </c>
      <c r="E65" s="45"/>
      <c r="F65" s="143"/>
      <c r="G65" s="143"/>
      <c r="H65" s="143"/>
      <c r="I65" s="143"/>
      <c r="J65" s="143"/>
      <c r="K65" s="143"/>
      <c r="L65" s="143"/>
      <c r="M65" s="143"/>
      <c r="N65" s="142" t="str">
        <f t="shared" si="1"/>
        <v/>
      </c>
      <c r="O65" s="160" t="str">
        <f t="shared" si="0"/>
        <v/>
      </c>
      <c r="P65" s="159" t="str">
        <f>IF(OR($B65="",$C$6&lt;&gt;HKI!$H$6,HKI!$J65=""),"",HKI!$J65)</f>
        <v/>
      </c>
      <c r="Q65" s="159" t="str">
        <f t="shared" si="2"/>
        <v/>
      </c>
    </row>
    <row r="66" spans="1:17" ht="18" customHeight="1">
      <c r="A66" s="123" t="str">
        <f>IF(OR($C$6="",$I$6="",$L$6=""),"",IF($B66="","",SUBTOTAL(3,$B$11:B66)))</f>
        <v/>
      </c>
      <c r="B66" s="151" t="str">
        <f>IF(OR($C$6="",$I$6="",$L$6=""),"",IF(HKI!$B66="","",HKI!$B66))</f>
        <v/>
      </c>
      <c r="C66" s="26" t="str">
        <f>IF(OR($C$6="",$I$6="",$L$6=""),"",IF(HKI!$C66="","",HKI!$C66))</f>
        <v/>
      </c>
      <c r="D66" s="152" t="str">
        <f>IF(OR($C$6="",$I$6="",$L$6=""),"",IF(HKI!$D66="","",HKI!$D66))</f>
        <v/>
      </c>
      <c r="E66" s="45"/>
      <c r="F66" s="143"/>
      <c r="G66" s="143"/>
      <c r="H66" s="143"/>
      <c r="I66" s="143"/>
      <c r="J66" s="143"/>
      <c r="K66" s="143"/>
      <c r="L66" s="143"/>
      <c r="M66" s="143"/>
      <c r="N66" s="142" t="str">
        <f t="shared" si="1"/>
        <v/>
      </c>
      <c r="O66" s="160" t="str">
        <f t="shared" si="0"/>
        <v/>
      </c>
      <c r="P66" s="159" t="str">
        <f>IF(OR($B66="",$C$6&lt;&gt;HKI!$H$6,HKI!$J66=""),"",HKI!$J66)</f>
        <v/>
      </c>
      <c r="Q66" s="159" t="str">
        <f t="shared" si="2"/>
        <v/>
      </c>
    </row>
    <row r="67" spans="1:17" ht="18" customHeight="1">
      <c r="A67" s="123" t="str">
        <f>IF(OR($C$6="",$I$6="",$L$6=""),"",IF($B67="","",SUBTOTAL(3,$B$11:B67)))</f>
        <v/>
      </c>
      <c r="B67" s="151" t="str">
        <f>IF(OR($C$6="",$I$6="",$L$6=""),"",IF(HKI!$B67="","",HKI!$B67))</f>
        <v/>
      </c>
      <c r="C67" s="26" t="str">
        <f>IF(OR($C$6="",$I$6="",$L$6=""),"",IF(HKI!$C67="","",HKI!$C67))</f>
        <v/>
      </c>
      <c r="D67" s="152" t="str">
        <f>IF(OR($C$6="",$I$6="",$L$6=""),"",IF(HKI!$D67="","",HKI!$D67))</f>
        <v/>
      </c>
      <c r="E67" s="45"/>
      <c r="F67" s="143"/>
      <c r="G67" s="143"/>
      <c r="H67" s="143"/>
      <c r="I67" s="143"/>
      <c r="J67" s="143"/>
      <c r="K67" s="143"/>
      <c r="L67" s="143"/>
      <c r="M67" s="143"/>
      <c r="N67" s="142" t="str">
        <f t="shared" si="1"/>
        <v/>
      </c>
      <c r="O67" s="160" t="str">
        <f t="shared" si="0"/>
        <v/>
      </c>
      <c r="P67" s="159" t="str">
        <f>IF(OR($B67="",$C$6&lt;&gt;HKI!$H$6,HKI!$J67=""),"",HKI!$J67)</f>
        <v/>
      </c>
      <c r="Q67" s="159" t="str">
        <f t="shared" si="2"/>
        <v/>
      </c>
    </row>
    <row r="68" spans="1:17" ht="18" customHeight="1">
      <c r="A68" s="123" t="str">
        <f>IF(OR($C$6="",$I$6="",$L$6=""),"",IF($B68="","",SUBTOTAL(3,$B$11:B68)))</f>
        <v/>
      </c>
      <c r="B68" s="151" t="str">
        <f>IF(OR($C$6="",$I$6="",$L$6=""),"",IF(HKI!$B68="","",HKI!$B68))</f>
        <v/>
      </c>
      <c r="C68" s="26" t="str">
        <f>IF(OR($C$6="",$I$6="",$L$6=""),"",IF(HKI!$C68="","",HKI!$C68))</f>
        <v/>
      </c>
      <c r="D68" s="152" t="str">
        <f>IF(OR($C$6="",$I$6="",$L$6=""),"",IF(HKI!$D68="","",HKI!$D68))</f>
        <v/>
      </c>
      <c r="E68" s="45"/>
      <c r="F68" s="45"/>
      <c r="G68" s="45"/>
      <c r="H68" s="45"/>
      <c r="I68" s="45"/>
      <c r="J68" s="45"/>
      <c r="K68" s="45"/>
      <c r="L68" s="45"/>
      <c r="M68" s="45"/>
      <c r="N68" s="142" t="str">
        <f t="shared" si="1"/>
        <v/>
      </c>
      <c r="O68" s="160" t="str">
        <f t="shared" si="0"/>
        <v/>
      </c>
      <c r="P68" s="159" t="str">
        <f>IF(OR($B68="",$C$6&lt;&gt;HKI!$H$6,HKI!$J68=""),"",HKI!$J68)</f>
        <v/>
      </c>
      <c r="Q68" s="159" t="str">
        <f t="shared" si="2"/>
        <v/>
      </c>
    </row>
    <row r="69" spans="1:17" ht="18" customHeight="1">
      <c r="A69" s="123" t="str">
        <f>IF(OR($C$6="",$I$6="",$L$6=""),"",IF($B69="","",SUBTOTAL(3,$B$11:B69)))</f>
        <v/>
      </c>
      <c r="B69" s="151" t="str">
        <f>IF(OR($C$6="",$I$6="",$L$6=""),"",IF(HKI!$B69="","",HKI!$B69))</f>
        <v/>
      </c>
      <c r="C69" s="26" t="str">
        <f>IF(OR($C$6="",$I$6="",$L$6=""),"",IF(HKI!$C69="","",HKI!$C69))</f>
        <v/>
      </c>
      <c r="D69" s="152" t="str">
        <f>IF(OR($C$6="",$I$6="",$L$6=""),"",IF(HKI!$D69="","",HKI!$D69))</f>
        <v/>
      </c>
      <c r="E69" s="45"/>
      <c r="F69" s="45"/>
      <c r="G69" s="45"/>
      <c r="H69" s="45"/>
      <c r="I69" s="45"/>
      <c r="J69" s="45"/>
      <c r="K69" s="45"/>
      <c r="L69" s="45"/>
      <c r="M69" s="45"/>
      <c r="N69" s="142" t="str">
        <f t="shared" si="1"/>
        <v/>
      </c>
      <c r="O69" s="160" t="str">
        <f t="shared" si="0"/>
        <v/>
      </c>
      <c r="P69" s="159" t="str">
        <f>IF(OR($B69="",$C$6&lt;&gt;HKI!$H$6,HKI!$J69=""),"",HKI!$J69)</f>
        <v/>
      </c>
      <c r="Q69" s="159" t="str">
        <f t="shared" si="2"/>
        <v/>
      </c>
    </row>
    <row r="70" spans="1:17" ht="18" customHeight="1">
      <c r="A70" s="123" t="str">
        <f>IF(OR($C$6="",$I$6="",$L$6=""),"",IF($B70="","",SUBTOTAL(3,$B$11:B70)))</f>
        <v/>
      </c>
      <c r="B70" s="151" t="str">
        <f>IF(OR($C$6="",$I$6="",$L$6=""),"",IF(HKI!$B70="","",HKI!$B70))</f>
        <v/>
      </c>
      <c r="C70" s="26" t="str">
        <f>IF(OR($C$6="",$I$6="",$L$6=""),"",IF(HKI!$C70="","",HKI!$C70))</f>
        <v/>
      </c>
      <c r="D70" s="152" t="str">
        <f>IF(OR($C$6="",$I$6="",$L$6=""),"",IF(HKI!$D70="","",HKI!$D70))</f>
        <v/>
      </c>
      <c r="E70" s="45"/>
      <c r="F70" s="45"/>
      <c r="G70" s="45"/>
      <c r="H70" s="45"/>
      <c r="I70" s="45"/>
      <c r="J70" s="45"/>
      <c r="K70" s="45"/>
      <c r="L70" s="45"/>
      <c r="M70" s="45"/>
      <c r="N70" s="142" t="str">
        <f t="shared" si="1"/>
        <v/>
      </c>
      <c r="O70" s="160" t="str">
        <f t="shared" si="0"/>
        <v/>
      </c>
      <c r="P70" s="159" t="str">
        <f>IF(OR($B70="",$C$6&lt;&gt;HKI!$H$6,HKI!$J70=""),"",HKI!$J70)</f>
        <v/>
      </c>
      <c r="Q70" s="159" t="str">
        <f t="shared" si="2"/>
        <v/>
      </c>
    </row>
    <row r="71" spans="1:17" ht="16.5" customHeight="1">
      <c r="A71" s="123" t="str">
        <f>IF(OR($C$6="",$I$6="",$L$6=""),"",IF($B71="","",SUBTOTAL(3,$B$11:B71)))</f>
        <v/>
      </c>
      <c r="B71" s="151" t="str">
        <f>IF(OR($C$6="",$I$6="",$L$6=""),"",IF(HKI!$B71="","",HKI!$B71))</f>
        <v/>
      </c>
      <c r="C71" s="26" t="str">
        <f>IF(OR($C$6="",$I$6="",$L$6=""),"",IF(HKI!$C71="","",HKI!$C71))</f>
        <v/>
      </c>
      <c r="D71" s="152" t="str">
        <f>IF(OR($C$6="",$I$6="",$L$6=""),"",IF(HKI!$D71="","",HKI!$D71))</f>
        <v/>
      </c>
      <c r="E71" s="45"/>
      <c r="F71" s="45"/>
      <c r="G71" s="45"/>
      <c r="H71" s="45"/>
      <c r="I71" s="45"/>
      <c r="J71" s="45"/>
      <c r="K71" s="45"/>
      <c r="L71" s="45"/>
      <c r="M71" s="45"/>
      <c r="N71" s="142" t="str">
        <f t="shared" si="1"/>
        <v/>
      </c>
      <c r="O71" s="160" t="str">
        <f t="shared" si="0"/>
        <v/>
      </c>
      <c r="P71" s="159" t="str">
        <f>IF(OR($B71="",$C$6&lt;&gt;HKI!$H$6,HKI!$J71=""),"",HKI!$J71)</f>
        <v/>
      </c>
      <c r="Q71" s="159" t="str">
        <f t="shared" si="2"/>
        <v/>
      </c>
    </row>
    <row r="72" spans="1:17" ht="18" customHeight="1">
      <c r="A72" s="123" t="str">
        <f>IF(OR($C$6="",$I$6="",$L$6=""),"",IF($B72="","",SUBTOTAL(3,$B$11:B72)))</f>
        <v/>
      </c>
      <c r="B72" s="151" t="str">
        <f>IF(OR($C$6="",$I$6="",$L$6=""),"",IF(HKI!$B72="","",HKI!$B72))</f>
        <v/>
      </c>
      <c r="C72" s="26" t="str">
        <f>IF(OR($C$6="",$I$6="",$L$6=""),"",IF(HKI!$C72="","",HKI!$C72))</f>
        <v/>
      </c>
      <c r="D72" s="152" t="str">
        <f>IF(OR($C$6="",$I$6="",$L$6=""),"",IF(HKI!$D72="","",HKI!$D72))</f>
        <v/>
      </c>
      <c r="E72" s="45"/>
      <c r="F72" s="45"/>
      <c r="G72" s="45"/>
      <c r="H72" s="45"/>
      <c r="I72" s="45"/>
      <c r="J72" s="45"/>
      <c r="K72" s="45"/>
      <c r="L72" s="45"/>
      <c r="M72" s="45"/>
      <c r="N72" s="142" t="str">
        <f t="shared" si="1"/>
        <v/>
      </c>
      <c r="O72" s="160" t="str">
        <f t="shared" si="0"/>
        <v/>
      </c>
      <c r="P72" s="159" t="str">
        <f>IF(OR($B72="",$C$6&lt;&gt;HKI!$H$6,HKI!$J72=""),"",HKI!$J72)</f>
        <v/>
      </c>
      <c r="Q72" s="159" t="str">
        <f t="shared" si="2"/>
        <v/>
      </c>
    </row>
    <row r="73" spans="1:17" ht="18" customHeight="1">
      <c r="A73" s="123" t="str">
        <f>IF(OR($C$6="",$I$6="",$L$6=""),"",IF($B73="","",SUBTOTAL(3,$B$11:B73)))</f>
        <v/>
      </c>
      <c r="B73" s="151" t="str">
        <f>IF(OR($C$6="",$I$6="",$L$6=""),"",IF(HKI!$B73="","",HKI!$B73))</f>
        <v/>
      </c>
      <c r="C73" s="26" t="str">
        <f>IF(OR($C$6="",$I$6="",$L$6=""),"",IF(HKI!$C73="","",HKI!$C73))</f>
        <v/>
      </c>
      <c r="D73" s="152" t="str">
        <f>IF(OR($C$6="",$I$6="",$L$6=""),"",IF(HKI!$D73="","",HKI!$D73))</f>
        <v/>
      </c>
      <c r="E73" s="45"/>
      <c r="F73" s="45"/>
      <c r="G73" s="45"/>
      <c r="H73" s="45"/>
      <c r="I73" s="45"/>
      <c r="J73" s="45"/>
      <c r="K73" s="45"/>
      <c r="L73" s="45"/>
      <c r="M73" s="45"/>
      <c r="N73" s="142" t="str">
        <f t="shared" si="1"/>
        <v/>
      </c>
      <c r="O73" s="160" t="str">
        <f t="shared" si="0"/>
        <v/>
      </c>
      <c r="P73" s="159" t="str">
        <f>IF(OR($B73="",$C$6&lt;&gt;HKI!$H$6,HKI!$J73=""),"",HKI!$J73)</f>
        <v/>
      </c>
      <c r="Q73" s="159" t="str">
        <f t="shared" si="2"/>
        <v/>
      </c>
    </row>
    <row r="74" spans="1:17" ht="18" customHeight="1">
      <c r="A74" s="123" t="str">
        <f>IF(OR($C$6="",$I$6="",$L$6=""),"",IF($B74="","",SUBTOTAL(3,$B$11:B74)))</f>
        <v/>
      </c>
      <c r="B74" s="151" t="str">
        <f>IF(OR($C$6="",$I$6="",$L$6=""),"",IF(HKI!$B74="","",HKI!$B74))</f>
        <v/>
      </c>
      <c r="C74" s="26" t="str">
        <f>IF(OR($C$6="",$I$6="",$L$6=""),"",IF(HKI!$C74="","",HKI!$C74))</f>
        <v/>
      </c>
      <c r="D74" s="152" t="str">
        <f>IF(OR($C$6="",$I$6="",$L$6=""),"",IF(HKI!$D74="","",HKI!$D74))</f>
        <v/>
      </c>
      <c r="E74" s="45"/>
      <c r="F74" s="45"/>
      <c r="G74" s="45"/>
      <c r="H74" s="45"/>
      <c r="I74" s="45"/>
      <c r="J74" s="45"/>
      <c r="K74" s="45"/>
      <c r="L74" s="45"/>
      <c r="M74" s="45"/>
      <c r="N74" s="142" t="str">
        <f t="shared" si="1"/>
        <v/>
      </c>
      <c r="O74" s="160" t="str">
        <f t="shared" si="0"/>
        <v/>
      </c>
      <c r="P74" s="159" t="str">
        <f>IF(OR($B74="",$C$6&lt;&gt;HKI!$H$6,HKI!$J74=""),"",HKI!$J74)</f>
        <v/>
      </c>
      <c r="Q74" s="159" t="str">
        <f t="shared" si="2"/>
        <v/>
      </c>
    </row>
    <row r="75" spans="1:17" ht="18" customHeight="1">
      <c r="A75" s="123" t="str">
        <f>IF(OR($C$6="",$I$6="",$L$6=""),"",IF($B75="","",SUBTOTAL(3,$B$11:B75)))</f>
        <v/>
      </c>
      <c r="B75" s="151" t="str">
        <f>IF(OR($C$6="",$I$6="",$L$6=""),"",IF(HKI!$B75="","",HKI!$B75))</f>
        <v/>
      </c>
      <c r="C75" s="26" t="str">
        <f>IF(OR($C$6="",$I$6="",$L$6=""),"",IF(HKI!$C75="","",HKI!$C75))</f>
        <v/>
      </c>
      <c r="D75" s="152" t="str">
        <f>IF(OR($C$6="",$I$6="",$L$6=""),"",IF(HKI!$D75="","",HKI!$D75))</f>
        <v/>
      </c>
      <c r="E75" s="45"/>
      <c r="F75" s="45"/>
      <c r="G75" s="45"/>
      <c r="H75" s="45"/>
      <c r="I75" s="45"/>
      <c r="J75" s="45"/>
      <c r="K75" s="45"/>
      <c r="L75" s="45"/>
      <c r="M75" s="45"/>
      <c r="N75" s="142" t="str">
        <f t="shared" si="1"/>
        <v/>
      </c>
      <c r="O75" s="160" t="str">
        <f t="shared" si="0"/>
        <v/>
      </c>
      <c r="P75" s="159" t="str">
        <f>IF(OR($B75="",$C$6&lt;&gt;HKI!$H$6,HKI!$J75=""),"",HKI!$J75)</f>
        <v/>
      </c>
      <c r="Q75" s="159" t="str">
        <f t="shared" si="2"/>
        <v/>
      </c>
    </row>
    <row r="76" spans="1:17" ht="18" customHeight="1">
      <c r="A76" s="123" t="str">
        <f>IF(OR($C$6="",$I$6="",$L$6=""),"",IF($B76="","",SUBTOTAL(3,$B$11:B76)))</f>
        <v/>
      </c>
      <c r="B76" s="151" t="str">
        <f>IF(OR($C$6="",$I$6="",$L$6=""),"",IF(HKI!$B76="","",HKI!$B76))</f>
        <v/>
      </c>
      <c r="C76" s="26" t="str">
        <f>IF(OR($C$6="",$I$6="",$L$6=""),"",IF(HKI!$C76="","",HKI!$C76))</f>
        <v/>
      </c>
      <c r="D76" s="152" t="str">
        <f>IF(OR($C$6="",$I$6="",$L$6=""),"",IF(HKI!$D76="","",HKI!$D76))</f>
        <v/>
      </c>
      <c r="E76" s="45"/>
      <c r="F76" s="45"/>
      <c r="G76" s="45"/>
      <c r="H76" s="45"/>
      <c r="I76" s="45"/>
      <c r="J76" s="45"/>
      <c r="K76" s="45"/>
      <c r="L76" s="45"/>
      <c r="M76" s="45"/>
      <c r="N76" s="142" t="str">
        <f>IF($B76="","",IF(ISNUMBER($E76)=TRUE,$E76,IF(COUNT($F76:$M76)=0,"",IF(COUNT($F76:$K76)=0,ROUND(0.3*$L76+0.5*$M76,1),ROUND(0.2*(SUM($F76:$K76)/COUNT($F76:$K76))+0.3*$L76+0.5*$M76,1)))))</f>
        <v/>
      </c>
      <c r="O76" s="160" t="str">
        <f>IF($B76="","",IF($N76="","KXL",IF($N76&lt;4,"Kém",IF($N76&lt;5.5,"TB Yếu",IF($N76&lt;7,"T.Bình",IF($N76&lt;8.5,"Khá","Giỏi"))))))</f>
        <v/>
      </c>
      <c r="P76" s="159" t="str">
        <f>IF(OR($B76="",$C$6&lt;&gt;HKI!$H$6,HKI!$J76=""),"",HKI!$J76)</f>
        <v/>
      </c>
      <c r="Q76" s="159" t="str">
        <f t="shared" ref="Q76:Q91" si="3">IF(OR(ISNUMBER($E76)=TRUE,$B76="",$P76=""),"",IF(COUNT($F76:$M76)=0,"",IF($M76&gt;=$P76,$N76,IF(COUNT($F76:$K76)=0,ROUND(0.3*$L76+0.5*$P76,1),ROUND(0.2*(SUM($F76:$K76)/COUNT($F76:$K76))+0.3*$L76+0.5*$P76,1)))))</f>
        <v/>
      </c>
    </row>
    <row r="77" spans="1:17" ht="18" customHeight="1">
      <c r="A77" s="123" t="str">
        <f>IF(OR($C$6="",$I$6="",$L$6=""),"",IF($B77="","",SUBTOTAL(3,$B$11:B77)))</f>
        <v/>
      </c>
      <c r="B77" s="151" t="str">
        <f>IF(OR($C$6="",$I$6="",$L$6=""),"",IF(HKI!$B77="","",HKI!$B77))</f>
        <v/>
      </c>
      <c r="C77" s="26" t="str">
        <f>IF(OR($C$6="",$I$6="",$L$6=""),"",IF(HKI!$C77="","",HKI!$C77))</f>
        <v/>
      </c>
      <c r="D77" s="152" t="str">
        <f>IF(OR($C$6="",$I$6="",$L$6=""),"",IF(HKI!$D77="","",HKI!$D77))</f>
        <v/>
      </c>
      <c r="E77" s="45"/>
      <c r="F77" s="45"/>
      <c r="G77" s="45"/>
      <c r="H77" s="45"/>
      <c r="I77" s="45"/>
      <c r="J77" s="45"/>
      <c r="K77" s="45"/>
      <c r="L77" s="45"/>
      <c r="M77" s="45"/>
      <c r="N77" s="142" t="str">
        <f>IF($B77="","",IF(ISNUMBER($E77)=TRUE,$E77,IF(COUNT($F77:$M77)=0,"",IF(COUNT($F77:$K77)=0,ROUND(0.3*$L77+0.5*$M77,1),ROUND(0.2*(SUM($F77:$K77)/COUNT($F77:$K77))+0.3*$L77+0.5*$M77,1)))))</f>
        <v/>
      </c>
      <c r="O77" s="160" t="str">
        <f>IF($B77="","",IF($N77="","KXL",IF($N77&lt;4,"Kém",IF($N77&lt;5.5,"TB Yếu",IF($N77&lt;7,"T.Bình",IF($N77&lt;8.5,"Khá","Giỏi"))))))</f>
        <v/>
      </c>
      <c r="P77" s="159" t="str">
        <f>IF(OR($B77="",$C$6&lt;&gt;HKI!$H$6,HKI!$J77=""),"",HKI!$J77)</f>
        <v/>
      </c>
      <c r="Q77" s="159" t="str">
        <f t="shared" si="3"/>
        <v/>
      </c>
    </row>
    <row r="78" spans="1:17" ht="18" customHeight="1">
      <c r="A78" s="123" t="str">
        <f>IF(OR($C$6="",$I$6="",$L$6=""),"",IF($B78="","",SUBTOTAL(3,$B$11:B78)))</f>
        <v/>
      </c>
      <c r="B78" s="151" t="str">
        <f>IF(OR($C$6="",$I$6="",$L$6=""),"",IF(HKI!$B78="","",HKI!$B78))</f>
        <v/>
      </c>
      <c r="C78" s="26" t="str">
        <f>IF(OR($C$6="",$I$6="",$L$6=""),"",IF(HKI!$C78="","",HKI!$C78))</f>
        <v/>
      </c>
      <c r="D78" s="152" t="str">
        <f>IF(OR($C$6="",$I$6="",$L$6=""),"",IF(HKI!$D78="","",HKI!$D78))</f>
        <v/>
      </c>
      <c r="E78" s="45"/>
      <c r="F78" s="45"/>
      <c r="G78" s="45"/>
      <c r="H78" s="45"/>
      <c r="I78" s="45"/>
      <c r="J78" s="45"/>
      <c r="K78" s="45"/>
      <c r="L78" s="45"/>
      <c r="M78" s="45"/>
      <c r="N78" s="142" t="str">
        <f>IF($B78="","",IF(ISNUMBER($E78)=TRUE,$E78,IF(COUNT($F78:$M78)=0,"",IF(COUNT($F78:$K78)=0,ROUND(0.3*$L78+0.5*$M78,1),ROUND(0.2*(SUM($F78:$K78)/COUNT($F78:$K78))+0.3*$L78+0.5*$M78,1)))))</f>
        <v/>
      </c>
      <c r="O78" s="160" t="str">
        <f>IF($B78="","",IF($N78="","KXL",IF($N78&lt;4,"Kém",IF($N78&lt;5.5,"TB Yếu",IF($N78&lt;7,"T.Bình",IF($N78&lt;8.5,"Khá","Giỏi"))))))</f>
        <v/>
      </c>
      <c r="P78" s="159" t="str">
        <f>IF(OR($B78="",$C$6&lt;&gt;HKI!$H$6,HKI!$J78=""),"",HKI!$J78)</f>
        <v/>
      </c>
      <c r="Q78" s="159" t="str">
        <f t="shared" si="3"/>
        <v/>
      </c>
    </row>
    <row r="79" spans="1:17" ht="18" customHeight="1">
      <c r="A79" s="123" t="str">
        <f>IF(OR($C$6="",$I$6="",$L$6=""),"",IF($B79="","",SUBTOTAL(3,$B$11:B79)))</f>
        <v/>
      </c>
      <c r="B79" s="151" t="str">
        <f>IF(OR($C$6="",$I$6="",$L$6=""),"",IF(HKI!$B79="","",HKI!$B79))</f>
        <v/>
      </c>
      <c r="C79" s="26" t="str">
        <f>IF(OR($C$6="",$I$6="",$L$6=""),"",IF(HKI!$C79="","",HKI!$C79))</f>
        <v/>
      </c>
      <c r="D79" s="152" t="str">
        <f>IF(OR($C$6="",$I$6="",$L$6=""),"",IF(HKI!$D79="","",HKI!$D79))</f>
        <v/>
      </c>
      <c r="E79" s="45"/>
      <c r="F79" s="45"/>
      <c r="G79" s="45"/>
      <c r="H79" s="45"/>
      <c r="I79" s="45"/>
      <c r="J79" s="45"/>
      <c r="K79" s="45"/>
      <c r="L79" s="45"/>
      <c r="M79" s="45"/>
      <c r="N79" s="142" t="str">
        <f>IF($B79="","",IF(ISNUMBER($E79)=TRUE,$E79,IF(COUNT($F79:$M79)=0,"",IF(COUNT($F79:$K79)=0,ROUND(0.3*$L79+0.5*$M79,1),ROUND(0.2*(SUM($F79:$K79)/COUNT($F79:$K79))+0.3*$L79+0.5*$M79,1)))))</f>
        <v/>
      </c>
      <c r="O79" s="160" t="str">
        <f>IF($B79="","",IF($N79="","KXL",IF($N79&lt;4,"Kém",IF($N79&lt;5.5,"TB Yếu",IF($N79&lt;7,"T.Bình",IF($N79&lt;8.5,"Khá","Giỏi"))))))</f>
        <v/>
      </c>
      <c r="P79" s="159" t="str">
        <f>IF(OR($B79="",$C$6&lt;&gt;HKI!$H$6,HKI!$J79=""),"",HKI!$J79)</f>
        <v/>
      </c>
      <c r="Q79" s="159" t="str">
        <f t="shared" si="3"/>
        <v/>
      </c>
    </row>
    <row r="80" spans="1:17" ht="18" customHeight="1">
      <c r="A80" s="123" t="str">
        <f>IF(OR($C$6="",$I$6="",$L$6=""),"",IF($B80="","",SUBTOTAL(3,$B$11:B80)))</f>
        <v/>
      </c>
      <c r="B80" s="151" t="str">
        <f>IF(OR($C$6="",$I$6="",$L$6=""),"",IF(HKI!$B80="","",HKI!$B80))</f>
        <v/>
      </c>
      <c r="C80" s="26" t="str">
        <f>IF(OR($C$6="",$I$6="",$L$6=""),"",IF(HKI!$C80="","",HKI!$C80))</f>
        <v/>
      </c>
      <c r="D80" s="152" t="str">
        <f>IF(OR($C$6="",$I$6="",$L$6=""),"",IF(HKI!$D80="","",HKI!$D80))</f>
        <v/>
      </c>
      <c r="E80" s="45"/>
      <c r="F80" s="45"/>
      <c r="G80" s="45"/>
      <c r="H80" s="45"/>
      <c r="I80" s="45"/>
      <c r="J80" s="45"/>
      <c r="K80" s="45"/>
      <c r="L80" s="45"/>
      <c r="M80" s="45"/>
      <c r="N80" s="142" t="str">
        <f>IF($B80="","",IF(ISNUMBER($E80)=TRUE,$E80,IF(COUNT($F80:$M80)=0,"",IF(COUNT($F80:$K80)=0,ROUND(0.3*$L80+0.5*$M80,1),ROUND(0.2*(SUM($F80:$K80)/COUNT($F80:$K80))+0.3*$L80+0.5*$M80,1)))))</f>
        <v/>
      </c>
      <c r="O80" s="160" t="str">
        <f>IF($B80="","",IF($N80="","KXL",IF($N80&lt;4,"Kém",IF($N80&lt;5.5,"TB Yếu",IF($N80&lt;7,"T.Bình",IF($N80&lt;8.5,"Khá","Giỏi"))))))</f>
        <v/>
      </c>
      <c r="P80" s="159" t="str">
        <f>IF(OR($B80="",$C$6&lt;&gt;HKI!$H$6,HKI!$J80=""),"",HKI!$J80)</f>
        <v/>
      </c>
      <c r="Q80" s="159" t="str">
        <f t="shared" si="3"/>
        <v/>
      </c>
    </row>
    <row r="81" spans="1:17" s="146" customFormat="1" ht="15" customHeight="1">
      <c r="A81" s="649" t="s">
        <v>1459</v>
      </c>
      <c r="B81" s="649"/>
      <c r="C81" s="649"/>
      <c r="D81" s="649"/>
      <c r="E81" s="649"/>
      <c r="F81" s="649"/>
      <c r="G81" s="649"/>
      <c r="H81" s="649"/>
      <c r="I81" s="649"/>
      <c r="J81" s="649"/>
      <c r="K81" s="649"/>
      <c r="L81" s="649"/>
      <c r="M81" s="649"/>
      <c r="N81" s="649"/>
      <c r="O81" s="650"/>
      <c r="Q81" s="168" t="str">
        <f t="shared" si="3"/>
        <v/>
      </c>
    </row>
    <row r="82" spans="1:17" s="146" customFormat="1" ht="12.95" customHeight="1">
      <c r="A82" s="136"/>
      <c r="B82" s="651" t="str">
        <f>"Tổng danh sách có"</f>
        <v>Tổng danh sách có</v>
      </c>
      <c r="C82" s="651"/>
      <c r="D82" s="651"/>
      <c r="E82" s="651"/>
      <c r="F82" s="154" t="str">
        <f>": "&amp;MAX($A$11:$A$80)&amp;" SV"</f>
        <v>: 50 SV</v>
      </c>
      <c r="K82" s="147"/>
      <c r="L82" s="147"/>
      <c r="M82" s="147"/>
      <c r="N82" s="147"/>
      <c r="O82" s="147"/>
      <c r="Q82" s="169" t="str">
        <f t="shared" si="3"/>
        <v/>
      </c>
    </row>
    <row r="83" spans="1:17" s="146" customFormat="1" ht="12.95" customHeight="1">
      <c r="A83" s="148"/>
      <c r="B83" s="643" t="str">
        <f>"Tổng số SV có điểm Giỏi từ 8,5 đ đến 10 đ"</f>
        <v>Tổng số SV có điểm Giỏi từ 8,5 đ đến 10 đ</v>
      </c>
      <c r="C83" s="643"/>
      <c r="D83" s="643"/>
      <c r="E83" s="643"/>
      <c r="F83" s="153" t="str">
        <f>": "&amp;COUNTIF($O$11:$O$80,"Giỏi")&amp;" SV"</f>
        <v>: 1 SV</v>
      </c>
      <c r="H83" s="153" t="str">
        <f>IF($B11="","","("&amp;ROUND(COUNTIF($O$11:$O$80,"Giỏi")*100/MAX($A$11:$A$80),2)&amp;"%" &amp;")")</f>
        <v>(2%)</v>
      </c>
      <c r="I83" s="153"/>
      <c r="J83" s="153"/>
      <c r="K83" s="645" t="str">
        <f>IF($B11="","","Tổng số SV có điểm &gt;= 4 đ : "&amp;COUNTIF($N11:$N80,"&gt;=4")&amp;" SV"&amp;" ("&amp;ROUND(COUNTIF($N11:$N80,"&gt;=4")*100/MAX($A$11:$A$80),2)&amp;"%" &amp;")")</f>
        <v>Tổng số SV có điểm &gt;= 4 đ : 45 SV (90%)</v>
      </c>
      <c r="L83" s="645"/>
      <c r="M83" s="645"/>
      <c r="N83" s="645"/>
      <c r="O83" s="127"/>
      <c r="Q83" s="169" t="str">
        <f t="shared" si="3"/>
        <v/>
      </c>
    </row>
    <row r="84" spans="1:17" s="146" customFormat="1" ht="12.95" customHeight="1">
      <c r="A84" s="148"/>
      <c r="B84" s="643" t="str">
        <f>"Tổng số SV có điểm Khá từ 7 đ đến &lt;8,5 đ"</f>
        <v>Tổng số SV có điểm Khá từ 7 đ đến &lt;8,5 đ</v>
      </c>
      <c r="C84" s="643"/>
      <c r="D84" s="643"/>
      <c r="E84" s="643"/>
      <c r="F84" s="153" t="str">
        <f>": "&amp;COUNTIF($O$11:$O$80,"Khá")&amp;" SV"</f>
        <v>: 20 SV</v>
      </c>
      <c r="H84" s="153" t="str">
        <f>IF($B11="","","("&amp;ROUND(COUNTIF($O$11:$O$80,"Khá")*100/MAX($A$11:$A$80),2)&amp;"%" &amp;")")</f>
        <v>(40%)</v>
      </c>
      <c r="I84" s="153"/>
      <c r="J84" s="153"/>
      <c r="K84" s="645"/>
      <c r="L84" s="645"/>
      <c r="M84" s="645"/>
      <c r="N84" s="645"/>
      <c r="O84" s="127"/>
      <c r="Q84" s="169" t="str">
        <f t="shared" si="3"/>
        <v/>
      </c>
    </row>
    <row r="85" spans="1:17" s="146" customFormat="1" ht="12.95" customHeight="1">
      <c r="A85" s="148"/>
      <c r="B85" s="643" t="str">
        <f>"Tổng số SV có điểm Trung bình từ 5,5 đ đến &lt;7 đ"</f>
        <v>Tổng số SV có điểm Trung bình từ 5,5 đ đến &lt;7 đ</v>
      </c>
      <c r="C85" s="643"/>
      <c r="D85" s="643"/>
      <c r="E85" s="643"/>
      <c r="F85" s="153" t="str">
        <f>": "&amp;COUNTIF($O$11:$O$80,"T.Bình")&amp;" SV"</f>
        <v>: 22 SV</v>
      </c>
      <c r="H85" s="153" t="str">
        <f>IF($B11="","","("&amp;ROUND(COUNTIF($O$11:$O$80,"T.Bình")*100/MAX($A$11:$A$80),2)&amp;"%" &amp;")")</f>
        <v>(44%)</v>
      </c>
      <c r="I85" s="153"/>
      <c r="J85" s="153"/>
      <c r="K85" s="645"/>
      <c r="L85" s="645"/>
      <c r="M85" s="645"/>
      <c r="N85" s="645"/>
      <c r="O85" s="127"/>
      <c r="Q85" s="169" t="str">
        <f t="shared" si="3"/>
        <v/>
      </c>
    </row>
    <row r="86" spans="1:17" s="146" customFormat="1" ht="12.95" customHeight="1">
      <c r="A86" s="148"/>
      <c r="B86" s="643" t="str">
        <f>"Tổng số SV có điểm Trung bình yếu từ 4 đ đến &lt;5,5 đ"</f>
        <v>Tổng số SV có điểm Trung bình yếu từ 4 đ đến &lt;5,5 đ</v>
      </c>
      <c r="C86" s="643"/>
      <c r="D86" s="643"/>
      <c r="E86" s="643"/>
      <c r="F86" s="153" t="str">
        <f>": "&amp;COUNTIF($O$11:$O$80,"TB Yếu")&amp;" SV"</f>
        <v>: 2 SV</v>
      </c>
      <c r="H86" s="153" t="str">
        <f>IF($B11="","","("&amp;ROUND(COUNTIF($O$11:$O$80,"TB Yếu")*100/MAX($A$11:$A$80),2)&amp;"%" &amp;")")</f>
        <v>(4%)</v>
      </c>
      <c r="I86" s="153"/>
      <c r="J86" s="153"/>
      <c r="K86" s="644" t="str">
        <f>IF($B11="","","Tổng số SV có điểm &lt; 4 đ : "&amp;COUNTIF($N11:$N80,"&lt;4")&amp;" SV"&amp;" ("&amp;ROUND(COUNTIF($N11:$N80,"&lt;4")*100/MAX($A$11:$A$80),2)&amp;"%" &amp;")")</f>
        <v>Tổng số SV có điểm &lt; 4 đ : 5 SV (10%)</v>
      </c>
      <c r="L86" s="644"/>
      <c r="M86" s="644"/>
      <c r="N86" s="644"/>
      <c r="O86" s="161"/>
      <c r="Q86" s="169" t="str">
        <f t="shared" si="3"/>
        <v/>
      </c>
    </row>
    <row r="87" spans="1:17" s="146" customFormat="1" ht="12.95" customHeight="1">
      <c r="A87" s="148"/>
      <c r="B87" s="643" t="str">
        <f>"Tổng số SV có điểm kém &lt;4 đ"</f>
        <v>Tổng số SV có điểm kém &lt;4 đ</v>
      </c>
      <c r="C87" s="643"/>
      <c r="D87" s="643"/>
      <c r="E87" s="643"/>
      <c r="F87" s="153" t="str">
        <f>": "&amp;COUNTIF($O$11:$O$80,"Kém")&amp;" SV"</f>
        <v>: 5 SV</v>
      </c>
      <c r="H87" s="153" t="str">
        <f>IF($B11="","","("&amp;ROUND(COUNTIF($O$11:$O$80,"Kém")*100/MAX($A$11:$A$80),2)&amp;"%"&amp;")")</f>
        <v>(10%)</v>
      </c>
      <c r="I87" s="153"/>
      <c r="J87" s="153"/>
      <c r="K87" s="644"/>
      <c r="L87" s="644"/>
      <c r="M87" s="644"/>
      <c r="N87" s="644"/>
      <c r="O87" s="161"/>
      <c r="Q87" s="169" t="str">
        <f t="shared" si="3"/>
        <v/>
      </c>
    </row>
    <row r="88" spans="1:17" s="146" customFormat="1" ht="12.95" customHeight="1">
      <c r="A88" s="148"/>
      <c r="B88" s="643" t="str">
        <f>"Tổng số SV không xếp loại vì chưa đủ điều kiện"</f>
        <v>Tổng số SV không xếp loại vì chưa đủ điều kiện</v>
      </c>
      <c r="C88" s="643"/>
      <c r="D88" s="643"/>
      <c r="E88" s="643"/>
      <c r="F88" s="153" t="str">
        <f>": "&amp;COUNTIF($O$11:$O$80,"KXL")&amp;" SV"</f>
        <v>: 0 SV</v>
      </c>
      <c r="H88" s="153" t="str">
        <f>IF($B11="","","("&amp;ROUND(COUNTIF($O$11:$O$80,"KXL")*100/MAX($A$11:$A$80),2)&amp;"%"&amp;")")</f>
        <v>(0%)</v>
      </c>
      <c r="I88" s="153"/>
      <c r="J88" s="153"/>
      <c r="K88" s="644"/>
      <c r="L88" s="644"/>
      <c r="M88" s="644"/>
      <c r="N88" s="644"/>
      <c r="O88" s="161"/>
      <c r="Q88" s="169" t="str">
        <f t="shared" si="3"/>
        <v/>
      </c>
    </row>
    <row r="89" spans="1:17" ht="15.75">
      <c r="B89" s="149"/>
      <c r="C89" s="149"/>
      <c r="D89" s="149"/>
      <c r="E89" s="149"/>
      <c r="F89" s="149"/>
      <c r="G89" s="149"/>
      <c r="H89" s="149"/>
      <c r="I89" s="149"/>
      <c r="J89" s="149"/>
      <c r="K89" s="149"/>
      <c r="L89" s="149"/>
      <c r="M89" s="149"/>
      <c r="N89" s="149"/>
      <c r="Q89" s="169" t="str">
        <f t="shared" si="3"/>
        <v/>
      </c>
    </row>
    <row r="90" spans="1:17" ht="15.75" customHeight="1">
      <c r="A90" s="636" t="s">
        <v>190</v>
      </c>
      <c r="B90" s="636"/>
      <c r="C90" s="636"/>
      <c r="E90" s="162" t="s">
        <v>1460</v>
      </c>
      <c r="G90" s="162"/>
      <c r="H90" s="138"/>
      <c r="I90" s="138"/>
      <c r="J90" s="162" t="s">
        <v>1139</v>
      </c>
      <c r="K90" s="162"/>
      <c r="L90" s="162"/>
      <c r="M90" s="162"/>
      <c r="N90" s="162"/>
      <c r="O90" s="162"/>
      <c r="Q90" s="169" t="str">
        <f t="shared" si="3"/>
        <v/>
      </c>
    </row>
    <row r="91" spans="1:17">
      <c r="A91" s="642"/>
      <c r="B91" s="642"/>
      <c r="C91" s="642"/>
      <c r="D91" s="150"/>
      <c r="E91" s="150"/>
      <c r="F91" s="150"/>
      <c r="G91" s="150"/>
      <c r="H91" s="150"/>
      <c r="I91" s="150"/>
      <c r="J91" s="150"/>
      <c r="K91" s="150"/>
      <c r="L91" s="150"/>
      <c r="M91" s="150"/>
      <c r="N91" s="150"/>
      <c r="O91" s="150"/>
      <c r="Q91" s="169" t="str">
        <f t="shared" si="3"/>
        <v/>
      </c>
    </row>
  </sheetData>
  <sheetProtection sheet="1" formatCells="0" formatColumns="0" formatRows="0" autoFilter="0"/>
  <dataConsolidate/>
  <mergeCells count="43">
    <mergeCell ref="A8:A10"/>
    <mergeCell ref="A81:O81"/>
    <mergeCell ref="B82:E82"/>
    <mergeCell ref="A4:O4"/>
    <mergeCell ref="A6:B6"/>
    <mergeCell ref="C6:F6"/>
    <mergeCell ref="F8:F9"/>
    <mergeCell ref="J8:J9"/>
    <mergeCell ref="K8:K9"/>
    <mergeCell ref="H7:I7"/>
    <mergeCell ref="B85:E85"/>
    <mergeCell ref="K83:N85"/>
    <mergeCell ref="B83:E83"/>
    <mergeCell ref="L8:L9"/>
    <mergeCell ref="E8:E10"/>
    <mergeCell ref="G8:G9"/>
    <mergeCell ref="B8:B10"/>
    <mergeCell ref="C8:D10"/>
    <mergeCell ref="F10:K10"/>
    <mergeCell ref="H8:H9"/>
    <mergeCell ref="I8:I9"/>
    <mergeCell ref="B84:E84"/>
    <mergeCell ref="A91:C91"/>
    <mergeCell ref="A90:C90"/>
    <mergeCell ref="B88:E88"/>
    <mergeCell ref="K86:N88"/>
    <mergeCell ref="B87:E87"/>
    <mergeCell ref="B86:E86"/>
    <mergeCell ref="Q8:Q10"/>
    <mergeCell ref="M8:M9"/>
    <mergeCell ref="N8:N10"/>
    <mergeCell ref="O8:O10"/>
    <mergeCell ref="P8:P9"/>
    <mergeCell ref="A2:F2"/>
    <mergeCell ref="A1:F1"/>
    <mergeCell ref="A3:F3"/>
    <mergeCell ref="J7:L7"/>
    <mergeCell ref="D7:E7"/>
    <mergeCell ref="A5:O5"/>
    <mergeCell ref="G6:H6"/>
    <mergeCell ref="L6:M6"/>
    <mergeCell ref="H1:N1"/>
    <mergeCell ref="H2:N2"/>
  </mergeCells>
  <phoneticPr fontId="11" type="noConversion"/>
  <conditionalFormatting sqref="N11:N80">
    <cfRule type="cellIs" dxfId="10" priority="1" stopIfTrue="1" operator="lessThan">
      <formula>4</formula>
    </cfRule>
  </conditionalFormatting>
  <printOptions horizontalCentered="1"/>
  <pageMargins left="0.5" right="0" top="0.25" bottom="0.32" header="0.25" footer="0.25"/>
  <pageSetup paperSize="9" scale="85" orientation="portrait" horizontalDpi="1200" verticalDpi="12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U91"/>
  <sheetViews>
    <sheetView view="pageBreakPreview" topLeftCell="A46" zoomScale="115" zoomScaleSheetLayoutView="115" workbookViewId="0">
      <selection activeCell="A60" sqref="A60:IV60"/>
    </sheetView>
  </sheetViews>
  <sheetFormatPr defaultColWidth="6" defaultRowHeight="12.75"/>
  <cols>
    <col min="1" max="1" width="4.28515625" style="136" customWidth="1"/>
    <col min="2" max="2" width="11.5703125" style="136" bestFit="1" customWidth="1"/>
    <col min="3" max="3" width="23.28515625" style="136" customWidth="1"/>
    <col min="4" max="4" width="8.28515625" style="136" customWidth="1"/>
    <col min="5" max="5" width="6" style="136" bestFit="1" customWidth="1"/>
    <col min="6" max="12" width="6.7109375" style="136" customWidth="1"/>
    <col min="13" max="13" width="8.42578125" style="136" bestFit="1" customWidth="1"/>
    <col min="14" max="14" width="7.42578125" style="136" customWidth="1"/>
    <col min="15" max="15" width="8.28515625" style="147" hidden="1" customWidth="1"/>
    <col min="16" max="17" width="6.28515625" style="147" hidden="1" customWidth="1"/>
    <col min="18" max="18" width="6" style="136" customWidth="1"/>
    <col min="19" max="20" width="6" style="136"/>
    <col min="21" max="21" width="7.5703125" style="136" bestFit="1" customWidth="1"/>
    <col min="22" max="16384" width="6" style="136"/>
  </cols>
  <sheetData>
    <row r="1" spans="1:21" ht="15.75">
      <c r="A1" s="633" t="s">
        <v>2695</v>
      </c>
      <c r="B1" s="633"/>
      <c r="C1" s="633"/>
      <c r="D1" s="633"/>
      <c r="E1" s="633"/>
      <c r="F1" s="633"/>
      <c r="G1" s="140"/>
      <c r="H1" s="632" t="s">
        <v>249</v>
      </c>
      <c r="I1" s="632"/>
      <c r="J1" s="632"/>
      <c r="K1" s="632"/>
      <c r="L1" s="632"/>
      <c r="M1" s="632"/>
      <c r="N1" s="632"/>
      <c r="O1" s="155"/>
      <c r="P1" s="136"/>
      <c r="Q1" s="136"/>
    </row>
    <row r="2" spans="1:21" ht="29.25" customHeight="1">
      <c r="A2" s="631" t="s">
        <v>2687</v>
      </c>
      <c r="B2" s="632"/>
      <c r="C2" s="632"/>
      <c r="D2" s="632"/>
      <c r="E2" s="632"/>
      <c r="F2" s="632"/>
      <c r="G2" s="157"/>
      <c r="H2" s="638" t="s">
        <v>250</v>
      </c>
      <c r="I2" s="638"/>
      <c r="J2" s="638"/>
      <c r="K2" s="638"/>
      <c r="L2" s="638"/>
      <c r="M2" s="638"/>
      <c r="N2" s="638"/>
      <c r="O2" s="155"/>
      <c r="P2" s="136"/>
      <c r="Q2" s="136"/>
    </row>
    <row r="3" spans="1:21" ht="19.5" customHeight="1">
      <c r="A3" s="633"/>
      <c r="B3" s="633"/>
      <c r="C3" s="633"/>
      <c r="D3" s="633"/>
      <c r="E3" s="633"/>
      <c r="F3" s="633"/>
      <c r="G3" s="156"/>
      <c r="H3" s="156"/>
      <c r="I3" s="186"/>
      <c r="J3" s="156"/>
      <c r="K3" s="156"/>
      <c r="L3" s="156"/>
      <c r="M3" s="156"/>
      <c r="N3" s="137"/>
    </row>
    <row r="4" spans="1:21" ht="20.25" customHeight="1">
      <c r="A4" s="635" t="s">
        <v>251</v>
      </c>
      <c r="B4" s="635"/>
      <c r="C4" s="635"/>
      <c r="D4" s="635"/>
      <c r="E4" s="635"/>
      <c r="F4" s="635"/>
      <c r="G4" s="635"/>
      <c r="H4" s="635"/>
      <c r="I4" s="635"/>
      <c r="J4" s="635"/>
      <c r="K4" s="635"/>
      <c r="L4" s="635"/>
      <c r="M4" s="635"/>
      <c r="N4" s="635"/>
      <c r="O4" s="167"/>
    </row>
    <row r="5" spans="1:21" ht="11.25" customHeight="1">
      <c r="A5" s="635"/>
      <c r="B5" s="635"/>
      <c r="C5" s="635"/>
      <c r="D5" s="635"/>
      <c r="E5" s="635"/>
      <c r="F5" s="635"/>
      <c r="G5" s="635"/>
      <c r="H5" s="635"/>
      <c r="I5" s="635"/>
      <c r="J5" s="635"/>
      <c r="K5" s="635"/>
      <c r="L5" s="635"/>
      <c r="M5" s="635"/>
      <c r="N5" s="635"/>
      <c r="O5" s="635"/>
    </row>
    <row r="6" spans="1:21" s="139" customFormat="1" ht="17.25" customHeight="1">
      <c r="A6" s="652" t="s">
        <v>252</v>
      </c>
      <c r="B6" s="652"/>
      <c r="C6" s="637" t="str">
        <f>IF($L$6="","",IF(VLOOKUP($L$6,'LOP-MON'!$B$2:$N$43,3,FALSE)=0,"",VLOOKUP($L$6,'LOP-MON'!$B$2:$N$43,3,FALSE)))</f>
        <v>Điều khiển lập trình PLC 1</v>
      </c>
      <c r="D6" s="637"/>
      <c r="E6" s="637"/>
      <c r="F6" s="637"/>
      <c r="G6" s="636" t="s">
        <v>271</v>
      </c>
      <c r="H6" s="636"/>
      <c r="I6" s="183">
        <f>IF(L6="","",IF(VLOOKUP(CONCATENATE("TC",MID(L6,1,4),MID(L6,6,3)),'LOP-MON'!$B$2:$N$43,3,FALSE)=0,"",VLOOKUP(CONCATENATE("TC",MID(L6,1,4),MID(L6,6,3)),'LOP-MON'!$B$2:$N$43,3,FALSE)))</f>
        <v>2</v>
      </c>
      <c r="K6" s="19" t="s">
        <v>187</v>
      </c>
      <c r="L6" s="637" t="str">
        <f>HKI!$D$3</f>
        <v>13CĐ-Đ1</v>
      </c>
      <c r="M6" s="637"/>
      <c r="O6" s="24"/>
      <c r="P6" s="24"/>
      <c r="Q6" s="24"/>
    </row>
    <row r="7" spans="1:21" s="140" customFormat="1" ht="17.25" customHeight="1">
      <c r="C7" s="141" t="s">
        <v>253</v>
      </c>
      <c r="D7" s="634" t="s">
        <v>2693</v>
      </c>
      <c r="E7" s="634"/>
      <c r="G7" s="172"/>
      <c r="H7" s="634" t="s">
        <v>254</v>
      </c>
      <c r="I7" s="634"/>
      <c r="J7" s="634" t="s">
        <v>2694</v>
      </c>
      <c r="K7" s="634"/>
      <c r="L7" s="634"/>
      <c r="N7" s="19"/>
      <c r="O7" s="100"/>
      <c r="P7" s="135"/>
      <c r="Q7" s="135"/>
    </row>
    <row r="8" spans="1:21" s="139" customFormat="1" ht="15" customHeight="1">
      <c r="A8" s="646" t="s">
        <v>255</v>
      </c>
      <c r="B8" s="646" t="s">
        <v>188</v>
      </c>
      <c r="C8" s="646" t="s">
        <v>189</v>
      </c>
      <c r="D8" s="646"/>
      <c r="E8" s="646" t="s">
        <v>259</v>
      </c>
      <c r="F8" s="640" t="s">
        <v>261</v>
      </c>
      <c r="G8" s="640" t="s">
        <v>262</v>
      </c>
      <c r="H8" s="640" t="s">
        <v>263</v>
      </c>
      <c r="I8" s="640" t="s">
        <v>264</v>
      </c>
      <c r="J8" s="640" t="s">
        <v>265</v>
      </c>
      <c r="K8" s="640" t="s">
        <v>266</v>
      </c>
      <c r="L8" s="640" t="s">
        <v>267</v>
      </c>
      <c r="M8" s="640" t="s">
        <v>268</v>
      </c>
      <c r="N8" s="640" t="s">
        <v>260</v>
      </c>
      <c r="O8" s="641" t="s">
        <v>258</v>
      </c>
      <c r="P8" s="639" t="s">
        <v>269</v>
      </c>
      <c r="Q8" s="639" t="s">
        <v>270</v>
      </c>
    </row>
    <row r="9" spans="1:21" s="24" customFormat="1" ht="28.5" customHeight="1">
      <c r="A9" s="646"/>
      <c r="B9" s="646"/>
      <c r="C9" s="646"/>
      <c r="D9" s="646"/>
      <c r="E9" s="646"/>
      <c r="F9" s="640"/>
      <c r="G9" s="640"/>
      <c r="H9" s="640"/>
      <c r="I9" s="640"/>
      <c r="J9" s="640"/>
      <c r="K9" s="640"/>
      <c r="L9" s="640"/>
      <c r="M9" s="640"/>
      <c r="N9" s="640"/>
      <c r="O9" s="641"/>
      <c r="P9" s="639"/>
      <c r="Q9" s="639"/>
      <c r="U9" s="449"/>
    </row>
    <row r="10" spans="1:21" s="24" customFormat="1" ht="17.25" customHeight="1">
      <c r="A10" s="646"/>
      <c r="B10" s="646"/>
      <c r="C10" s="646"/>
      <c r="D10" s="646"/>
      <c r="E10" s="646"/>
      <c r="F10" s="648">
        <v>0.2</v>
      </c>
      <c r="G10" s="640"/>
      <c r="H10" s="640"/>
      <c r="I10" s="640"/>
      <c r="J10" s="640"/>
      <c r="K10" s="640"/>
      <c r="L10" s="6">
        <v>0.3</v>
      </c>
      <c r="M10" s="6">
        <v>0.5</v>
      </c>
      <c r="N10" s="640"/>
      <c r="O10" s="641"/>
      <c r="P10" s="158">
        <v>0.5</v>
      </c>
      <c r="Q10" s="639"/>
    </row>
    <row r="11" spans="1:21" ht="18" customHeight="1">
      <c r="A11" s="123">
        <f>IF(OR($C$6="",$I$6="",$L$6=""),"",IF($B11="","",SUBTOTAL(3,$B$11:B11)))</f>
        <v>1</v>
      </c>
      <c r="B11" s="151" t="str">
        <f>IF(OR($C$6="",$I$6="",$L$6=""),"",IF(HKI!$B11="","",HKI!$B11))</f>
        <v>13D301Đ001</v>
      </c>
      <c r="C11" s="26" t="str">
        <f>IF(OR($C$6="",$I$6="",$L$6=""),"",IF(HKI!$C11="","",HKI!$C11))</f>
        <v>Lương Hoàng Thuận</v>
      </c>
      <c r="D11" s="27" t="str">
        <f>IF(OR($C$6="",$I$6="",$L$6=""),"",IF(HKI!$D11="","",HKI!$D11))</f>
        <v>An</v>
      </c>
      <c r="E11" s="459"/>
      <c r="F11" s="460">
        <v>7</v>
      </c>
      <c r="G11" s="460">
        <v>7</v>
      </c>
      <c r="H11" s="460">
        <v>7</v>
      </c>
      <c r="I11" s="460"/>
      <c r="J11" s="460"/>
      <c r="K11" s="460"/>
      <c r="L11" s="460">
        <v>8</v>
      </c>
      <c r="M11" s="460">
        <v>9.3000000000000007</v>
      </c>
      <c r="N11" s="142">
        <f>IF(B11="","",IF(ISNUMBER(E11)=TRUE,E11,IF(COUNT(F11:M11)=0,"",IF(COUNT(F11:K11)=0,ROUND(0.3*L11+0.5*M11,1),ROUND(0.2*(SUM(F11:K11)/COUNT(F11:K11))+0.3*L11+0.5*M11,1)))))</f>
        <v>8.5</v>
      </c>
      <c r="O11" s="160" t="str">
        <f t="shared" ref="O11:O74" si="0">IF($B11="","",IF($N11="","KXL",IF($N11&lt;4,"Kém",IF($N11&lt;5.5,"TB Yếu",IF($N11&lt;7,"T.Bình",IF($N11&lt;8.5,"Khá","Giỏi"))))))</f>
        <v>Giỏi</v>
      </c>
      <c r="P11" s="159" t="str">
        <f>IF(OR($B11="",$C$6&lt;&gt;HKI!$L$6,HKI!$N11=""),"",HKI!$N11)</f>
        <v/>
      </c>
      <c r="Q11" s="159" t="str">
        <f>IF(OR(ISNUMBER($E11)=TRUE,$B11="",$P11=""),"",IF(COUNT($F11:$M11)=0,"",IF($M11&gt;=$P11,$N11,IF(COUNT($F11:$K11)=0,ROUND(0.3*$L11+0.5*$P11,1),ROUND(0.2*(SUM($F11:$K11)/COUNT($F11:$K11))+0.3*$L11+0.5*$P11,1)))))</f>
        <v/>
      </c>
    </row>
    <row r="12" spans="1:21" ht="18" customHeight="1">
      <c r="A12" s="123">
        <f>IF(OR($C$6="",$I$6="",$L$6=""),"",IF($B12="","",SUBTOTAL(3,$B$11:B12)))</f>
        <v>2</v>
      </c>
      <c r="B12" s="151" t="str">
        <f>IF(OR($C$6="",$I$6="",$L$6=""),"",IF(HKI!$B12="","",HKI!$B12))</f>
        <v>13D301Đ004</v>
      </c>
      <c r="C12" s="26" t="str">
        <f>IF(OR($C$6="",$I$6="",$L$6=""),"",IF(HKI!$C12="","",HKI!$C12))</f>
        <v>Đặng Thế</v>
      </c>
      <c r="D12" s="27" t="str">
        <f>IF(OR($C$6="",$I$6="",$L$6=""),"",IF(HKI!$D12="","",HKI!$D12))</f>
        <v>Anh</v>
      </c>
      <c r="E12" s="461"/>
      <c r="F12" s="460">
        <v>7</v>
      </c>
      <c r="G12" s="460">
        <v>7</v>
      </c>
      <c r="H12" s="460">
        <v>7</v>
      </c>
      <c r="I12" s="462"/>
      <c r="J12" s="462"/>
      <c r="K12" s="462"/>
      <c r="L12" s="462">
        <v>4</v>
      </c>
      <c r="M12" s="462">
        <v>7.8</v>
      </c>
      <c r="N12" s="142">
        <f t="shared" ref="N12:N75" si="1">IF(B12="","",IF(ISNUMBER(E12)=TRUE,E12,IF(COUNT(F12:M12)=0,"",IF(COUNT(F12:K12)=0,ROUND(0.3*L12+0.5*M12,1),ROUND(0.2*(SUM(F12:K12)/COUNT(F12:K12))+0.3*L12+0.5*M12,1)))))</f>
        <v>6.5</v>
      </c>
      <c r="O12" s="160" t="str">
        <f t="shared" si="0"/>
        <v>T.Bình</v>
      </c>
      <c r="P12" s="159" t="str">
        <f>IF(OR($B12="",$C$6&lt;&gt;HKI!$L$6,HKI!$N12=""),"",HKI!$N12)</f>
        <v/>
      </c>
      <c r="Q12" s="159" t="str">
        <f t="shared" ref="Q12:Q75" si="2">IF(OR(ISNUMBER($E12)=TRUE,$B12="",$P12=""),"",IF(COUNT($F12:$M12)=0,"",IF($M12&gt;=$P12,$N12,IF(COUNT($F12:$K12)=0,ROUND(0.3*$L12+0.5*$P12,1),ROUND(0.2*(SUM($F12:$K12)/COUNT($F12:$K12))+0.3*$L12+0.5*$P12,1)))))</f>
        <v/>
      </c>
    </row>
    <row r="13" spans="1:21" ht="18" customHeight="1">
      <c r="A13" s="123">
        <f>IF(OR($C$6="",$I$6="",$L$6=""),"",IF($B13="","",SUBTOTAL(3,$B$11:B13)))</f>
        <v>3</v>
      </c>
      <c r="B13" s="151" t="str">
        <f>IF(OR($C$6="",$I$6="",$L$6=""),"",IF(HKI!$B13="","",HKI!$B13))</f>
        <v>13D301Đ149</v>
      </c>
      <c r="C13" s="26" t="str">
        <f>IF(OR($C$6="",$I$6="",$L$6=""),"",IF(HKI!$C13="","",HKI!$C13))</f>
        <v>Đỗ Huỳnh</v>
      </c>
      <c r="D13" s="27" t="str">
        <f>IF(OR($C$6="",$I$6="",$L$6=""),"",IF(HKI!$D13="","",HKI!$D13))</f>
        <v>Bảo</v>
      </c>
      <c r="E13" s="461"/>
      <c r="F13" s="460">
        <v>7</v>
      </c>
      <c r="G13" s="460">
        <v>7</v>
      </c>
      <c r="H13" s="460">
        <v>7</v>
      </c>
      <c r="I13" s="462"/>
      <c r="J13" s="462"/>
      <c r="K13" s="462"/>
      <c r="L13" s="462">
        <v>8</v>
      </c>
      <c r="M13" s="462">
        <v>7.8</v>
      </c>
      <c r="N13" s="142">
        <f t="shared" si="1"/>
        <v>7.7</v>
      </c>
      <c r="O13" s="160" t="str">
        <f t="shared" si="0"/>
        <v>Khá</v>
      </c>
      <c r="P13" s="159" t="str">
        <f>IF(OR($B13="",$C$6&lt;&gt;HKI!$L$6,HKI!$N13=""),"",HKI!$N13)</f>
        <v/>
      </c>
      <c r="Q13" s="159" t="str">
        <f t="shared" si="2"/>
        <v/>
      </c>
    </row>
    <row r="14" spans="1:21" ht="18" customHeight="1">
      <c r="A14" s="123">
        <f>IF(OR($C$6="",$I$6="",$L$6=""),"",IF($B14="","",SUBTOTAL(3,$B$11:B14)))</f>
        <v>4</v>
      </c>
      <c r="B14" s="151" t="str">
        <f>IF(OR($C$6="",$I$6="",$L$6=""),"",IF(HKI!$B14="","",HKI!$B14))</f>
        <v>13D301Đ008</v>
      </c>
      <c r="C14" s="26" t="str">
        <f>IF(OR($C$6="",$I$6="",$L$6=""),"",IF(HKI!$C14="","",HKI!$C14))</f>
        <v>Trương Vũ</v>
      </c>
      <c r="D14" s="27" t="str">
        <f>IF(OR($C$6="",$I$6="",$L$6=""),"",IF(HKI!$D14="","",HKI!$D14))</f>
        <v>Bảo</v>
      </c>
      <c r="E14" s="461"/>
      <c r="F14" s="460">
        <v>7</v>
      </c>
      <c r="G14" s="460">
        <v>7</v>
      </c>
      <c r="H14" s="460">
        <v>7</v>
      </c>
      <c r="I14" s="462"/>
      <c r="J14" s="462"/>
      <c r="K14" s="462"/>
      <c r="L14" s="462">
        <v>7</v>
      </c>
      <c r="M14" s="462">
        <v>7.3</v>
      </c>
      <c r="N14" s="142">
        <f t="shared" si="1"/>
        <v>7.2</v>
      </c>
      <c r="O14" s="160" t="str">
        <f t="shared" si="0"/>
        <v>Khá</v>
      </c>
      <c r="P14" s="159" t="str">
        <f>IF(OR($B14="",$C$6&lt;&gt;HKI!$L$6,HKI!$N14=""),"",HKI!$N14)</f>
        <v/>
      </c>
      <c r="Q14" s="159" t="str">
        <f t="shared" si="2"/>
        <v/>
      </c>
    </row>
    <row r="15" spans="1:21" ht="18" customHeight="1">
      <c r="A15" s="123">
        <f>IF(OR($C$6="",$I$6="",$L$6=""),"",IF($B15="","",SUBTOTAL(3,$B$11:B15)))</f>
        <v>5</v>
      </c>
      <c r="B15" s="151" t="str">
        <f>IF(OR($C$6="",$I$6="",$L$6=""),"",IF(HKI!$B15="","",HKI!$B15))</f>
        <v>13D301Đ009</v>
      </c>
      <c r="C15" s="26" t="str">
        <f>IF(OR($C$6="",$I$6="",$L$6=""),"",IF(HKI!$C15="","",HKI!$C15))</f>
        <v>Võ Thành</v>
      </c>
      <c r="D15" s="27" t="str">
        <f>IF(OR($C$6="",$I$6="",$L$6=""),"",IF(HKI!$D15="","",HKI!$D15))</f>
        <v>Bảo</v>
      </c>
      <c r="E15" s="461"/>
      <c r="F15" s="460">
        <v>7</v>
      </c>
      <c r="G15" s="460">
        <v>7</v>
      </c>
      <c r="H15" s="460">
        <v>7</v>
      </c>
      <c r="I15" s="462"/>
      <c r="J15" s="462"/>
      <c r="K15" s="462"/>
      <c r="L15" s="462">
        <v>4</v>
      </c>
      <c r="M15" s="462">
        <v>5</v>
      </c>
      <c r="N15" s="142">
        <f t="shared" si="1"/>
        <v>5.0999999999999996</v>
      </c>
      <c r="O15" s="160" t="str">
        <f t="shared" si="0"/>
        <v>TB Yếu</v>
      </c>
      <c r="P15" s="159" t="str">
        <f>IF(OR($B15="",$C$6&lt;&gt;HKI!$L$6,HKI!$N15=""),"",HKI!$N15)</f>
        <v/>
      </c>
      <c r="Q15" s="159" t="str">
        <f t="shared" si="2"/>
        <v/>
      </c>
    </row>
    <row r="16" spans="1:21" ht="18" customHeight="1">
      <c r="A16" s="123">
        <f>IF(OR($C$6="",$I$6="",$L$6=""),"",IF($B16="","",SUBTOTAL(3,$B$11:B16)))</f>
        <v>6</v>
      </c>
      <c r="B16" s="151" t="str">
        <f>IF(OR($C$6="",$I$6="",$L$6=""),"",IF(HKI!$B16="","",HKI!$B16))</f>
        <v>13D301Đ013</v>
      </c>
      <c r="C16" s="26" t="str">
        <f>IF(OR($C$6="",$I$6="",$L$6=""),"",IF(HKI!$C16="","",HKI!$C16))</f>
        <v>Nguyễn Chí</v>
      </c>
      <c r="D16" s="27" t="str">
        <f>IF(OR($C$6="",$I$6="",$L$6=""),"",IF(HKI!$D16="","",HKI!$D16))</f>
        <v>Bình</v>
      </c>
      <c r="E16" s="461"/>
      <c r="F16" s="460">
        <v>7</v>
      </c>
      <c r="G16" s="460">
        <v>7</v>
      </c>
      <c r="H16" s="460">
        <v>7</v>
      </c>
      <c r="I16" s="462"/>
      <c r="J16" s="462"/>
      <c r="K16" s="462"/>
      <c r="L16" s="462">
        <v>3</v>
      </c>
      <c r="M16" s="462">
        <v>4.5</v>
      </c>
      <c r="N16" s="142">
        <f t="shared" si="1"/>
        <v>4.5999999999999996</v>
      </c>
      <c r="O16" s="160" t="str">
        <f t="shared" si="0"/>
        <v>TB Yếu</v>
      </c>
      <c r="P16" s="159" t="str">
        <f>IF(OR($B16="",$C$6&lt;&gt;HKI!$L$6,HKI!$N16=""),"",HKI!$N16)</f>
        <v/>
      </c>
      <c r="Q16" s="159" t="str">
        <f t="shared" si="2"/>
        <v/>
      </c>
    </row>
    <row r="17" spans="1:17" ht="18" customHeight="1">
      <c r="A17" s="123">
        <f>IF(OR($C$6="",$I$6="",$L$6=""),"",IF($B17="","",SUBTOTAL(3,$B$11:B17)))</f>
        <v>7</v>
      </c>
      <c r="B17" s="151" t="str">
        <f>IF(OR($C$6="",$I$6="",$L$6=""),"",IF(HKI!$B17="","",HKI!$B17))</f>
        <v>13D301Đ016</v>
      </c>
      <c r="C17" s="26" t="str">
        <f>IF(OR($C$6="",$I$6="",$L$6=""),"",IF(HKI!$C17="","",HKI!$C17))</f>
        <v>Vũ Văn</v>
      </c>
      <c r="D17" s="27" t="str">
        <f>IF(OR($C$6="",$I$6="",$L$6=""),"",IF(HKI!$D17="","",HKI!$D17))</f>
        <v>Chiến</v>
      </c>
      <c r="E17" s="461"/>
      <c r="F17" s="460">
        <v>7</v>
      </c>
      <c r="G17" s="460">
        <v>7</v>
      </c>
      <c r="H17" s="460">
        <v>7</v>
      </c>
      <c r="I17" s="462"/>
      <c r="J17" s="462"/>
      <c r="K17" s="462"/>
      <c r="L17" s="462">
        <v>6</v>
      </c>
      <c r="M17" s="462">
        <v>5.3</v>
      </c>
      <c r="N17" s="142">
        <f t="shared" si="1"/>
        <v>5.9</v>
      </c>
      <c r="O17" s="160" t="str">
        <f t="shared" si="0"/>
        <v>T.Bình</v>
      </c>
      <c r="P17" s="159" t="str">
        <f>IF(OR($B17="",$C$6&lt;&gt;HKI!$L$6,HKI!$N17=""),"",HKI!$N17)</f>
        <v/>
      </c>
      <c r="Q17" s="159" t="str">
        <f t="shared" si="2"/>
        <v/>
      </c>
    </row>
    <row r="18" spans="1:17" ht="18" customHeight="1">
      <c r="A18" s="123">
        <f>IF(OR($C$6="",$I$6="",$L$6=""),"",IF($B18="","",SUBTOTAL(3,$B$11:B18)))</f>
        <v>8</v>
      </c>
      <c r="B18" s="151" t="str">
        <f>IF(OR($C$6="",$I$6="",$L$6=""),"",IF(HKI!$B18="","",HKI!$B18))</f>
        <v>13D301Đ017</v>
      </c>
      <c r="C18" s="26" t="str">
        <f>IF(OR($C$6="",$I$6="",$L$6=""),"",IF(HKI!$C18="","",HKI!$C18))</f>
        <v>Trần Văn</v>
      </c>
      <c r="D18" s="27" t="str">
        <f>IF(OR($C$6="",$I$6="",$L$6=""),"",IF(HKI!$D18="","",HKI!$D18))</f>
        <v>Chinh</v>
      </c>
      <c r="E18" s="461"/>
      <c r="F18" s="460">
        <v>7</v>
      </c>
      <c r="G18" s="460">
        <v>7</v>
      </c>
      <c r="H18" s="460">
        <v>7</v>
      </c>
      <c r="I18" s="462"/>
      <c r="J18" s="462"/>
      <c r="K18" s="462"/>
      <c r="L18" s="462">
        <v>4</v>
      </c>
      <c r="M18" s="462">
        <v>5</v>
      </c>
      <c r="N18" s="142">
        <f t="shared" si="1"/>
        <v>5.0999999999999996</v>
      </c>
      <c r="O18" s="160" t="str">
        <f t="shared" si="0"/>
        <v>TB Yếu</v>
      </c>
      <c r="P18" s="159" t="str">
        <f>IF(OR($B18="",$C$6&lt;&gt;HKI!$L$6,HKI!$N18=""),"",HKI!$N18)</f>
        <v/>
      </c>
      <c r="Q18" s="159" t="str">
        <f t="shared" si="2"/>
        <v/>
      </c>
    </row>
    <row r="19" spans="1:17" ht="18" customHeight="1">
      <c r="A19" s="123">
        <f>IF(OR($C$6="",$I$6="",$L$6=""),"",IF($B19="","",SUBTOTAL(3,$B$11:B19)))</f>
        <v>9</v>
      </c>
      <c r="B19" s="151" t="str">
        <f>IF(OR($C$6="",$I$6="",$L$6=""),"",IF(HKI!$B19="","",HKI!$B19))</f>
        <v>13D301Đ193</v>
      </c>
      <c r="C19" s="26" t="str">
        <f>IF(OR($C$6="",$I$6="",$L$6=""),"",IF(HKI!$C19="","",HKI!$C19))</f>
        <v>Phạm Công</v>
      </c>
      <c r="D19" s="27" t="str">
        <f>IF(OR($C$6="",$I$6="",$L$6=""),"",IF(HKI!$D19="","",HKI!$D19))</f>
        <v>Chính</v>
      </c>
      <c r="E19" s="461"/>
      <c r="F19" s="460">
        <v>7</v>
      </c>
      <c r="G19" s="460">
        <v>7</v>
      </c>
      <c r="H19" s="460">
        <v>7</v>
      </c>
      <c r="I19" s="462"/>
      <c r="J19" s="462"/>
      <c r="K19" s="462"/>
      <c r="L19" s="462">
        <v>3</v>
      </c>
      <c r="M19" s="462">
        <v>4.8</v>
      </c>
      <c r="N19" s="142">
        <f t="shared" si="1"/>
        <v>4.7</v>
      </c>
      <c r="O19" s="160" t="str">
        <f t="shared" si="0"/>
        <v>TB Yếu</v>
      </c>
      <c r="P19" s="159" t="str">
        <f>IF(OR($B19="",$C$6&lt;&gt;HKI!$L$6,HKI!$N19=""),"",HKI!$N19)</f>
        <v/>
      </c>
      <c r="Q19" s="159" t="str">
        <f t="shared" si="2"/>
        <v/>
      </c>
    </row>
    <row r="20" spans="1:17" ht="18" customHeight="1">
      <c r="A20" s="123">
        <f>IF(OR($C$6="",$I$6="",$L$6=""),"",IF($B20="","",SUBTOTAL(3,$B$11:B20)))</f>
        <v>10</v>
      </c>
      <c r="B20" s="151" t="str">
        <f>IF(OR($C$6="",$I$6="",$L$6=""),"",IF(HKI!$B20="","",HKI!$B20))</f>
        <v>13D301Đ020</v>
      </c>
      <c r="C20" s="26" t="str">
        <f>IF(OR($C$6="",$I$6="",$L$6=""),"",IF(HKI!$C20="","",HKI!$C20))</f>
        <v>Trịnh Lê</v>
      </c>
      <c r="D20" s="27" t="str">
        <f>IF(OR($C$6="",$I$6="",$L$6=""),"",IF(HKI!$D20="","",HKI!$D20))</f>
        <v>Cung</v>
      </c>
      <c r="E20" s="461"/>
      <c r="F20" s="460">
        <v>7</v>
      </c>
      <c r="G20" s="460">
        <v>7</v>
      </c>
      <c r="H20" s="460">
        <v>7</v>
      </c>
      <c r="I20" s="462"/>
      <c r="J20" s="462"/>
      <c r="K20" s="462"/>
      <c r="L20" s="462">
        <v>7</v>
      </c>
      <c r="M20" s="462">
        <v>7</v>
      </c>
      <c r="N20" s="142">
        <f t="shared" si="1"/>
        <v>7</v>
      </c>
      <c r="O20" s="160" t="str">
        <f t="shared" si="0"/>
        <v>Khá</v>
      </c>
      <c r="P20" s="159" t="str">
        <f>IF(OR($B20="",$C$6&lt;&gt;HKI!$L$6,HKI!$N20=""),"",HKI!$N20)</f>
        <v/>
      </c>
      <c r="Q20" s="159" t="str">
        <f t="shared" si="2"/>
        <v/>
      </c>
    </row>
    <row r="21" spans="1:17" ht="18" customHeight="1">
      <c r="A21" s="123">
        <f>IF(OR($C$6="",$I$6="",$L$6=""),"",IF($B21="","",SUBTOTAL(3,$B$11:B21)))</f>
        <v>11</v>
      </c>
      <c r="B21" s="151" t="str">
        <f>IF(OR($C$6="",$I$6="",$L$6=""),"",IF(HKI!$B21="","",HKI!$B21))</f>
        <v>13D301Đ021</v>
      </c>
      <c r="C21" s="26" t="str">
        <f>IF(OR($C$6="",$I$6="",$L$6=""),"",IF(HKI!$C21="","",HKI!$C21))</f>
        <v>Nguyễn Chí</v>
      </c>
      <c r="D21" s="27" t="str">
        <f>IF(OR($C$6="",$I$6="",$L$6=""),"",IF(HKI!$D21="","",HKI!$D21))</f>
        <v>Cường</v>
      </c>
      <c r="E21" s="461"/>
      <c r="F21" s="460">
        <v>7</v>
      </c>
      <c r="G21" s="460">
        <v>7</v>
      </c>
      <c r="H21" s="460">
        <v>7</v>
      </c>
      <c r="I21" s="462"/>
      <c r="J21" s="462"/>
      <c r="K21" s="462"/>
      <c r="L21" s="462">
        <v>4</v>
      </c>
      <c r="M21" s="462">
        <v>6</v>
      </c>
      <c r="N21" s="142">
        <f t="shared" si="1"/>
        <v>5.6</v>
      </c>
      <c r="O21" s="160" t="str">
        <f t="shared" si="0"/>
        <v>T.Bình</v>
      </c>
      <c r="P21" s="159" t="str">
        <f>IF(OR($B21="",$C$6&lt;&gt;HKI!$L$6,HKI!$N21=""),"",HKI!$N21)</f>
        <v/>
      </c>
      <c r="Q21" s="159" t="str">
        <f t="shared" si="2"/>
        <v/>
      </c>
    </row>
    <row r="22" spans="1:17" ht="18" customHeight="1">
      <c r="A22" s="123">
        <f>IF(OR($C$6="",$I$6="",$L$6=""),"",IF($B22="","",SUBTOTAL(3,$B$11:B22)))</f>
        <v>12</v>
      </c>
      <c r="B22" s="151" t="str">
        <f>IF(OR($C$6="",$I$6="",$L$6=""),"",IF(HKI!$B22="","",HKI!$B22))</f>
        <v>13D301Đ033</v>
      </c>
      <c r="C22" s="26" t="str">
        <f>IF(OR($C$6="",$I$6="",$L$6=""),"",IF(HKI!$C22="","",HKI!$C22))</f>
        <v xml:space="preserve">Trương Văn </v>
      </c>
      <c r="D22" s="27" t="str">
        <f>IF(OR($C$6="",$I$6="",$L$6=""),"",IF(HKI!$D22="","",HKI!$D22))</f>
        <v>Đạt</v>
      </c>
      <c r="E22" s="461"/>
      <c r="F22" s="460">
        <v>7</v>
      </c>
      <c r="G22" s="460">
        <v>7</v>
      </c>
      <c r="H22" s="460">
        <v>7</v>
      </c>
      <c r="I22" s="462"/>
      <c r="J22" s="462"/>
      <c r="K22" s="462"/>
      <c r="L22" s="462">
        <v>4</v>
      </c>
      <c r="M22" s="462">
        <v>6.8</v>
      </c>
      <c r="N22" s="142">
        <f t="shared" si="1"/>
        <v>6</v>
      </c>
      <c r="O22" s="160" t="str">
        <f t="shared" si="0"/>
        <v>T.Bình</v>
      </c>
      <c r="P22" s="159" t="str">
        <f>IF(OR($B22="",$C$6&lt;&gt;HKI!$L$6,HKI!$N22=""),"",HKI!$N22)</f>
        <v/>
      </c>
      <c r="Q22" s="159" t="str">
        <f t="shared" si="2"/>
        <v/>
      </c>
    </row>
    <row r="23" spans="1:17" ht="18" customHeight="1">
      <c r="A23" s="123">
        <f>IF(OR($C$6="",$I$6="",$L$6=""),"",IF($B23="","",SUBTOTAL(3,$B$11:B23)))</f>
        <v>13</v>
      </c>
      <c r="B23" s="151" t="str">
        <f>IF(OR($C$6="",$I$6="",$L$6=""),"",IF(HKI!$B23="","",HKI!$B23))</f>
        <v>13D301Đ037</v>
      </c>
      <c r="C23" s="26" t="str">
        <f>IF(OR($C$6="",$I$6="",$L$6=""),"",IF(HKI!$C23="","",HKI!$C23))</f>
        <v>Nguyễn Thành</v>
      </c>
      <c r="D23" s="27" t="str">
        <f>IF(OR($C$6="",$I$6="",$L$6=""),"",IF(HKI!$D23="","",HKI!$D23))</f>
        <v>Đông</v>
      </c>
      <c r="E23" s="461"/>
      <c r="F23" s="460">
        <v>7</v>
      </c>
      <c r="G23" s="460">
        <v>7</v>
      </c>
      <c r="H23" s="460">
        <v>7</v>
      </c>
      <c r="I23" s="462"/>
      <c r="J23" s="462"/>
      <c r="K23" s="462"/>
      <c r="L23" s="462">
        <v>5</v>
      </c>
      <c r="M23" s="462">
        <v>7</v>
      </c>
      <c r="N23" s="142">
        <f t="shared" si="1"/>
        <v>6.4</v>
      </c>
      <c r="O23" s="160" t="str">
        <f t="shared" si="0"/>
        <v>T.Bình</v>
      </c>
      <c r="P23" s="159" t="str">
        <f>IF(OR($B23="",$C$6&lt;&gt;HKI!$L$6,HKI!$N23=""),"",HKI!$N23)</f>
        <v/>
      </c>
      <c r="Q23" s="159" t="str">
        <f t="shared" si="2"/>
        <v/>
      </c>
    </row>
    <row r="24" spans="1:17" ht="18" customHeight="1">
      <c r="A24" s="123">
        <f>IF(OR($C$6="",$I$6="",$L$6=""),"",IF($B24="","",SUBTOTAL(3,$B$11:B24)))</f>
        <v>14</v>
      </c>
      <c r="B24" s="151" t="str">
        <f>IF(OR($C$6="",$I$6="",$L$6=""),"",IF(HKI!$B24="","",HKI!$B24))</f>
        <v>13D301Đ024</v>
      </c>
      <c r="C24" s="26" t="str">
        <f>IF(OR($C$6="",$I$6="",$L$6=""),"",IF(HKI!$C24="","",HKI!$C24))</f>
        <v xml:space="preserve">Trương Công </v>
      </c>
      <c r="D24" s="27" t="str">
        <f>IF(OR($C$6="",$I$6="",$L$6=""),"",IF(HKI!$D24="","",HKI!$D24))</f>
        <v>Duẩn</v>
      </c>
      <c r="E24" s="461"/>
      <c r="F24" s="460">
        <v>9</v>
      </c>
      <c r="G24" s="460">
        <v>9</v>
      </c>
      <c r="H24" s="460">
        <v>9</v>
      </c>
      <c r="I24" s="462"/>
      <c r="J24" s="462"/>
      <c r="K24" s="462"/>
      <c r="L24" s="462">
        <v>7</v>
      </c>
      <c r="M24" s="462">
        <v>9</v>
      </c>
      <c r="N24" s="142">
        <f t="shared" si="1"/>
        <v>8.4</v>
      </c>
      <c r="O24" s="160" t="str">
        <f t="shared" si="0"/>
        <v>Khá</v>
      </c>
      <c r="P24" s="159" t="str">
        <f>IF(OR($B24="",$C$6&lt;&gt;HKI!$L$6,HKI!$N24=""),"",HKI!$N24)</f>
        <v/>
      </c>
      <c r="Q24" s="159" t="str">
        <f t="shared" si="2"/>
        <v/>
      </c>
    </row>
    <row r="25" spans="1:17" ht="18" customHeight="1">
      <c r="A25" s="123">
        <f>IF(OR($C$6="",$I$6="",$L$6=""),"",IF($B25="","",SUBTOTAL(3,$B$11:B25)))</f>
        <v>15</v>
      </c>
      <c r="B25" s="151" t="str">
        <f>IF(OR($C$6="",$I$6="",$L$6=""),"",IF(HKI!$B25="","",HKI!$B25))</f>
        <v>13D301Đ191</v>
      </c>
      <c r="C25" s="26" t="str">
        <f>IF(OR($C$6="",$I$6="",$L$6=""),"",IF(HKI!$C25="","",HKI!$C25))</f>
        <v>Nguyễn Hiền</v>
      </c>
      <c r="D25" s="27" t="str">
        <f>IF(OR($C$6="",$I$6="",$L$6=""),"",IF(HKI!$D25="","",HKI!$D25))</f>
        <v>Đức</v>
      </c>
      <c r="E25" s="461"/>
      <c r="F25" s="460">
        <v>7</v>
      </c>
      <c r="G25" s="460">
        <v>7</v>
      </c>
      <c r="H25" s="460">
        <v>7</v>
      </c>
      <c r="I25" s="462"/>
      <c r="J25" s="462"/>
      <c r="K25" s="462"/>
      <c r="L25" s="462">
        <v>7</v>
      </c>
      <c r="M25" s="462">
        <v>7.5</v>
      </c>
      <c r="N25" s="142">
        <f t="shared" si="1"/>
        <v>7.3</v>
      </c>
      <c r="O25" s="160" t="str">
        <f t="shared" si="0"/>
        <v>Khá</v>
      </c>
      <c r="P25" s="159" t="str">
        <f>IF(OR($B25="",$C$6&lt;&gt;HKI!$L$6,HKI!$N25=""),"",HKI!$N25)</f>
        <v/>
      </c>
      <c r="Q25" s="159" t="str">
        <f t="shared" si="2"/>
        <v/>
      </c>
    </row>
    <row r="26" spans="1:17" ht="18" customHeight="1">
      <c r="A26" s="123">
        <f>IF(OR($C$6="",$I$6="",$L$6=""),"",IF($B26="","",SUBTOTAL(3,$B$11:B26)))</f>
        <v>16</v>
      </c>
      <c r="B26" s="151" t="str">
        <f>IF(OR($C$6="",$I$6="",$L$6=""),"",IF(HKI!$B26="","",HKI!$B26))</f>
        <v>13D301Đ040</v>
      </c>
      <c r="C26" s="26" t="str">
        <f>IF(OR($C$6="",$I$6="",$L$6=""),"",IF(HKI!$C26="","",HKI!$C26))</f>
        <v>Nguyễn Văn</v>
      </c>
      <c r="D26" s="27" t="str">
        <f>IF(OR($C$6="",$I$6="",$L$6=""),"",IF(HKI!$D26="","",HKI!$D26))</f>
        <v>Đức</v>
      </c>
      <c r="E26" s="461"/>
      <c r="F26" s="460">
        <v>7</v>
      </c>
      <c r="G26" s="460">
        <v>7</v>
      </c>
      <c r="H26" s="460">
        <v>7</v>
      </c>
      <c r="I26" s="462"/>
      <c r="J26" s="462"/>
      <c r="K26" s="462"/>
      <c r="L26" s="462">
        <v>6</v>
      </c>
      <c r="M26" s="462">
        <v>8.8000000000000007</v>
      </c>
      <c r="N26" s="142">
        <f t="shared" si="1"/>
        <v>7.6</v>
      </c>
      <c r="O26" s="160" t="str">
        <f t="shared" si="0"/>
        <v>Khá</v>
      </c>
      <c r="P26" s="159" t="str">
        <f>IF(OR($B26="",$C$6&lt;&gt;HKI!$L$6,HKI!$N26=""),"",HKI!$N26)</f>
        <v/>
      </c>
      <c r="Q26" s="159" t="str">
        <f t="shared" si="2"/>
        <v/>
      </c>
    </row>
    <row r="27" spans="1:17" ht="18" customHeight="1">
      <c r="A27" s="123">
        <f>IF(OR($C$6="",$I$6="",$L$6=""),"",IF($B27="","",SUBTOTAL(3,$B$11:B27)))</f>
        <v>17</v>
      </c>
      <c r="B27" s="151" t="str">
        <f>IF(OR($C$6="",$I$6="",$L$6=""),"",IF(HKI!$B27="","",HKI!$B27))</f>
        <v>13D301Đ025</v>
      </c>
      <c r="C27" s="26" t="str">
        <f>IF(OR($C$6="",$I$6="",$L$6=""),"",IF(HKI!$C27="","",HKI!$C27))</f>
        <v>Nguyễn Ngọc</v>
      </c>
      <c r="D27" s="27" t="str">
        <f>IF(OR($C$6="",$I$6="",$L$6=""),"",IF(HKI!$D27="","",HKI!$D27))</f>
        <v>Dũng</v>
      </c>
      <c r="E27" s="461"/>
      <c r="F27" s="460">
        <v>7</v>
      </c>
      <c r="G27" s="460">
        <v>7</v>
      </c>
      <c r="H27" s="460">
        <v>7</v>
      </c>
      <c r="I27" s="462"/>
      <c r="J27" s="462"/>
      <c r="K27" s="462"/>
      <c r="L27" s="462">
        <v>4</v>
      </c>
      <c r="M27" s="462">
        <v>5</v>
      </c>
      <c r="N27" s="142">
        <f t="shared" si="1"/>
        <v>5.0999999999999996</v>
      </c>
      <c r="O27" s="160" t="str">
        <f t="shared" si="0"/>
        <v>TB Yếu</v>
      </c>
      <c r="P27" s="159" t="str">
        <f>IF(OR($B27="",$C$6&lt;&gt;HKI!$L$6,HKI!$N27=""),"",HKI!$N27)</f>
        <v/>
      </c>
      <c r="Q27" s="159" t="str">
        <f t="shared" si="2"/>
        <v/>
      </c>
    </row>
    <row r="28" spans="1:17" ht="18" customHeight="1">
      <c r="A28" s="123">
        <f>IF(OR($C$6="",$I$6="",$L$6=""),"",IF($B28="","",SUBTOTAL(3,$B$11:B28)))</f>
        <v>18</v>
      </c>
      <c r="B28" s="151" t="str">
        <f>IF(OR($C$6="",$I$6="",$L$6=""),"",IF(HKI!$B28="","",HKI!$B28))</f>
        <v>13D301Đ192</v>
      </c>
      <c r="C28" s="26" t="str">
        <f>IF(OR($C$6="",$I$6="",$L$6=""),"",IF(HKI!$C28="","",HKI!$C28))</f>
        <v>Cao Trùng</v>
      </c>
      <c r="D28" s="27" t="str">
        <f>IF(OR($C$6="",$I$6="",$L$6=""),"",IF(HKI!$D28="","",HKI!$D28))</f>
        <v>Dương</v>
      </c>
      <c r="E28" s="461"/>
      <c r="F28" s="460">
        <v>7</v>
      </c>
      <c r="G28" s="460">
        <v>7</v>
      </c>
      <c r="H28" s="460">
        <v>7</v>
      </c>
      <c r="I28" s="462"/>
      <c r="J28" s="462"/>
      <c r="K28" s="462"/>
      <c r="L28" s="462">
        <v>7</v>
      </c>
      <c r="M28" s="462">
        <v>8.5</v>
      </c>
      <c r="N28" s="142">
        <f t="shared" si="1"/>
        <v>7.8</v>
      </c>
      <c r="O28" s="160" t="str">
        <f t="shared" si="0"/>
        <v>Khá</v>
      </c>
      <c r="P28" s="159" t="str">
        <f>IF(OR($B28="",$C$6&lt;&gt;HKI!$L$6,HKI!$N28=""),"",HKI!$N28)</f>
        <v/>
      </c>
      <c r="Q28" s="159" t="str">
        <f t="shared" si="2"/>
        <v/>
      </c>
    </row>
    <row r="29" spans="1:17" ht="18" customHeight="1">
      <c r="A29" s="123">
        <f>IF(OR($C$6="",$I$6="",$L$6=""),"",IF($B29="","",SUBTOTAL(3,$B$11:B29)))</f>
        <v>19</v>
      </c>
      <c r="B29" s="151" t="str">
        <f>IF(OR($C$6="",$I$6="",$L$6=""),"",IF(HKI!$B29="","",HKI!$B29))</f>
        <v>13D301Đ028</v>
      </c>
      <c r="C29" s="26" t="str">
        <f>IF(OR($C$6="",$I$6="",$L$6=""),"",IF(HKI!$C29="","",HKI!$C29))</f>
        <v>Hoàng Văn</v>
      </c>
      <c r="D29" s="27" t="str">
        <f>IF(OR($C$6="",$I$6="",$L$6=""),"",IF(HKI!$D29="","",HKI!$D29))</f>
        <v>Duy</v>
      </c>
      <c r="E29" s="461"/>
      <c r="F29" s="460">
        <v>7</v>
      </c>
      <c r="G29" s="460">
        <v>7</v>
      </c>
      <c r="H29" s="460">
        <v>7</v>
      </c>
      <c r="I29" s="462"/>
      <c r="J29" s="462"/>
      <c r="K29" s="462"/>
      <c r="L29" s="462">
        <v>5</v>
      </c>
      <c r="M29" s="462">
        <v>3.8</v>
      </c>
      <c r="N29" s="142">
        <f t="shared" si="1"/>
        <v>4.8</v>
      </c>
      <c r="O29" s="160" t="str">
        <f t="shared" si="0"/>
        <v>TB Yếu</v>
      </c>
      <c r="P29" s="159" t="str">
        <f>IF(OR($B29="",$C$6&lt;&gt;HKI!$L$6,HKI!$N29=""),"",HKI!$N29)</f>
        <v/>
      </c>
      <c r="Q29" s="159" t="str">
        <f t="shared" si="2"/>
        <v/>
      </c>
    </row>
    <row r="30" spans="1:17" ht="18" customHeight="1">
      <c r="A30" s="123">
        <f>IF(OR($C$6="",$I$6="",$L$6=""),"",IF($B30="","",SUBTOTAL(3,$B$11:B30)))</f>
        <v>20</v>
      </c>
      <c r="B30" s="151" t="str">
        <f>IF(OR($C$6="",$I$6="",$L$6=""),"",IF(HKI!$B30="","",HKI!$B30))</f>
        <v>13D301Đ181</v>
      </c>
      <c r="C30" s="26" t="str">
        <f>IF(OR($C$6="",$I$6="",$L$6=""),"",IF(HKI!$C30="","",HKI!$C30))</f>
        <v>Lâm Văn</v>
      </c>
      <c r="D30" s="27" t="str">
        <f>IF(OR($C$6="",$I$6="",$L$6=""),"",IF(HKI!$D30="","",HKI!$D30))</f>
        <v>Duy</v>
      </c>
      <c r="E30" s="461"/>
      <c r="F30" s="460">
        <v>7</v>
      </c>
      <c r="G30" s="460">
        <v>7</v>
      </c>
      <c r="H30" s="460">
        <v>7</v>
      </c>
      <c r="I30" s="462"/>
      <c r="J30" s="462"/>
      <c r="K30" s="462"/>
      <c r="L30" s="462">
        <v>7</v>
      </c>
      <c r="M30" s="462">
        <v>6.5</v>
      </c>
      <c r="N30" s="142">
        <f t="shared" si="1"/>
        <v>6.8</v>
      </c>
      <c r="O30" s="160" t="str">
        <f t="shared" si="0"/>
        <v>T.Bình</v>
      </c>
      <c r="P30" s="159" t="str">
        <f>IF(OR($B30="",$C$6&lt;&gt;HKI!$L$6,HKI!$N30=""),"",HKI!$N30)</f>
        <v/>
      </c>
      <c r="Q30" s="159" t="str">
        <f t="shared" si="2"/>
        <v/>
      </c>
    </row>
    <row r="31" spans="1:17" ht="18" customHeight="1">
      <c r="A31" s="123">
        <f>IF(OR($C$6="",$I$6="",$L$6=""),"",IF($B31="","",SUBTOTAL(3,$B$11:B31)))</f>
        <v>21</v>
      </c>
      <c r="B31" s="151" t="str">
        <f>IF(OR($C$6="",$I$6="",$L$6=""),"",IF(HKI!$B31="","",HKI!$B31))</f>
        <v>13D301Đ041</v>
      </c>
      <c r="C31" s="26" t="str">
        <f>IF(OR($C$6="",$I$6="",$L$6=""),"",IF(HKI!$C31="","",HKI!$C31))</f>
        <v>Lê Hoàng</v>
      </c>
      <c r="D31" s="27" t="str">
        <f>IF(OR($C$6="",$I$6="",$L$6=""),"",IF(HKI!$D31="","",HKI!$D31))</f>
        <v>Giang</v>
      </c>
      <c r="E31" s="461"/>
      <c r="F31" s="460">
        <v>7</v>
      </c>
      <c r="G31" s="460">
        <v>7</v>
      </c>
      <c r="H31" s="460">
        <v>7</v>
      </c>
      <c r="I31" s="462"/>
      <c r="J31" s="462"/>
      <c r="K31" s="462"/>
      <c r="L31" s="462">
        <v>7</v>
      </c>
      <c r="M31" s="462">
        <v>5</v>
      </c>
      <c r="N31" s="142">
        <f t="shared" si="1"/>
        <v>6</v>
      </c>
      <c r="O31" s="160" t="str">
        <f t="shared" si="0"/>
        <v>T.Bình</v>
      </c>
      <c r="P31" s="159" t="str">
        <f>IF(OR($B31="",$C$6&lt;&gt;HKI!$L$6,HKI!$N31=""),"",HKI!$N31)</f>
        <v/>
      </c>
      <c r="Q31" s="159" t="str">
        <f t="shared" si="2"/>
        <v/>
      </c>
    </row>
    <row r="32" spans="1:17" ht="18" customHeight="1">
      <c r="A32" s="123">
        <f>IF(OR($C$6="",$I$6="",$L$6=""),"",IF($B32="","",SUBTOTAL(3,$B$11:B32)))</f>
        <v>22</v>
      </c>
      <c r="B32" s="151" t="str">
        <f>IF(OR($C$6="",$I$6="",$L$6=""),"",IF(HKI!$B32="","",HKI!$B32))</f>
        <v>13D301Đ045</v>
      </c>
      <c r="C32" s="26" t="str">
        <f>IF(OR($C$6="",$I$6="",$L$6=""),"",IF(HKI!$C32="","",HKI!$C32))</f>
        <v>Lê Công</v>
      </c>
      <c r="D32" s="27" t="str">
        <f>IF(OR($C$6="",$I$6="",$L$6=""),"",IF(HKI!$D32="","",HKI!$D32))</f>
        <v>Hậu</v>
      </c>
      <c r="E32" s="461"/>
      <c r="F32" s="460">
        <v>7</v>
      </c>
      <c r="G32" s="460">
        <v>7</v>
      </c>
      <c r="H32" s="460">
        <v>7</v>
      </c>
      <c r="I32" s="462"/>
      <c r="J32" s="462"/>
      <c r="K32" s="462"/>
      <c r="L32" s="462">
        <v>6</v>
      </c>
      <c r="M32" s="462">
        <v>8.3000000000000007</v>
      </c>
      <c r="N32" s="142">
        <f t="shared" si="1"/>
        <v>7.4</v>
      </c>
      <c r="O32" s="160" t="str">
        <f t="shared" si="0"/>
        <v>Khá</v>
      </c>
      <c r="P32" s="159" t="str">
        <f>IF(OR($B32="",$C$6&lt;&gt;HKI!$L$6,HKI!$N32=""),"",HKI!$N32)</f>
        <v/>
      </c>
      <c r="Q32" s="159" t="str">
        <f t="shared" si="2"/>
        <v/>
      </c>
    </row>
    <row r="33" spans="1:17" ht="18" customHeight="1">
      <c r="A33" s="123">
        <f>IF(OR($C$6="",$I$6="",$L$6=""),"",IF($B33="","",SUBTOTAL(3,$B$11:B33)))</f>
        <v>23</v>
      </c>
      <c r="B33" s="151" t="str">
        <f>IF(OR($C$6="",$I$6="",$L$6=""),"",IF(HKI!$B33="","",HKI!$B33))</f>
        <v>13D301Đ048</v>
      </c>
      <c r="C33" s="26" t="str">
        <f>IF(OR($C$6="",$I$6="",$L$6=""),"",IF(HKI!$C33="","",HKI!$C33))</f>
        <v>Hồ Văn</v>
      </c>
      <c r="D33" s="27" t="str">
        <f>IF(OR($C$6="",$I$6="",$L$6=""),"",IF(HKI!$D33="","",HKI!$D33))</f>
        <v>Hiệp</v>
      </c>
      <c r="E33" s="461"/>
      <c r="F33" s="460">
        <v>7</v>
      </c>
      <c r="G33" s="460">
        <v>7</v>
      </c>
      <c r="H33" s="460">
        <v>7</v>
      </c>
      <c r="I33" s="462"/>
      <c r="J33" s="462"/>
      <c r="K33" s="462"/>
      <c r="L33" s="462">
        <v>6</v>
      </c>
      <c r="M33" s="462">
        <v>8</v>
      </c>
      <c r="N33" s="142">
        <f t="shared" si="1"/>
        <v>7.2</v>
      </c>
      <c r="O33" s="160" t="str">
        <f t="shared" si="0"/>
        <v>Khá</v>
      </c>
      <c r="P33" s="159" t="str">
        <f>IF(OR($B33="",$C$6&lt;&gt;HKI!$L$6,HKI!$N33=""),"",HKI!$N33)</f>
        <v/>
      </c>
      <c r="Q33" s="159" t="str">
        <f t="shared" si="2"/>
        <v/>
      </c>
    </row>
    <row r="34" spans="1:17" ht="18" customHeight="1">
      <c r="A34" s="123">
        <f>IF(OR($C$6="",$I$6="",$L$6=""),"",IF($B34="","",SUBTOTAL(3,$B$11:B34)))</f>
        <v>24</v>
      </c>
      <c r="B34" s="151" t="str">
        <f>IF(OR($C$6="",$I$6="",$L$6=""),"",IF(HKI!$B34="","",HKI!$B34))</f>
        <v>13D301Đ049</v>
      </c>
      <c r="C34" s="26" t="str">
        <f>IF(OR($C$6="",$I$6="",$L$6=""),"",IF(HKI!$C34="","",HKI!$C34))</f>
        <v>Lê Minh</v>
      </c>
      <c r="D34" s="27" t="str">
        <f>IF(OR($C$6="",$I$6="",$L$6=""),"",IF(HKI!$D34="","",HKI!$D34))</f>
        <v>Hiếu</v>
      </c>
      <c r="E34" s="461"/>
      <c r="F34" s="460">
        <v>7</v>
      </c>
      <c r="G34" s="460">
        <v>7</v>
      </c>
      <c r="H34" s="460">
        <v>7</v>
      </c>
      <c r="I34" s="462"/>
      <c r="J34" s="462"/>
      <c r="K34" s="462"/>
      <c r="L34" s="462">
        <v>7</v>
      </c>
      <c r="M34" s="462">
        <v>8.8000000000000007</v>
      </c>
      <c r="N34" s="142">
        <f t="shared" si="1"/>
        <v>7.9</v>
      </c>
      <c r="O34" s="160" t="str">
        <f t="shared" si="0"/>
        <v>Khá</v>
      </c>
      <c r="P34" s="159" t="str">
        <f>IF(OR($B34="",$C$6&lt;&gt;HKI!$L$6,HKI!$N34=""),"",HKI!$N34)</f>
        <v/>
      </c>
      <c r="Q34" s="159" t="str">
        <f t="shared" si="2"/>
        <v/>
      </c>
    </row>
    <row r="35" spans="1:17" ht="18" customHeight="1">
      <c r="A35" s="123">
        <f>IF(OR($C$6="",$I$6="",$L$6=""),"",IF($B35="","",SUBTOTAL(3,$B$11:B35)))</f>
        <v>25</v>
      </c>
      <c r="B35" s="151" t="str">
        <f>IF(OR($C$6="",$I$6="",$L$6=""),"",IF(HKI!$B35="","",HKI!$B35))</f>
        <v>13D301Đ053</v>
      </c>
      <c r="C35" s="26" t="str">
        <f>IF(OR($C$6="",$I$6="",$L$6=""),"",IF(HKI!$C35="","",HKI!$C35))</f>
        <v>Nguyễn Ngọc</v>
      </c>
      <c r="D35" s="27" t="str">
        <f>IF(OR($C$6="",$I$6="",$L$6=""),"",IF(HKI!$D35="","",HKI!$D35))</f>
        <v>Hoài</v>
      </c>
      <c r="E35" s="461"/>
      <c r="F35" s="460">
        <v>8</v>
      </c>
      <c r="G35" s="460">
        <v>8</v>
      </c>
      <c r="H35" s="460">
        <v>8</v>
      </c>
      <c r="I35" s="462"/>
      <c r="J35" s="462"/>
      <c r="K35" s="462"/>
      <c r="L35" s="462">
        <v>8</v>
      </c>
      <c r="M35" s="462">
        <v>7.3</v>
      </c>
      <c r="N35" s="142">
        <f t="shared" si="1"/>
        <v>7.7</v>
      </c>
      <c r="O35" s="160" t="str">
        <f t="shared" si="0"/>
        <v>Khá</v>
      </c>
      <c r="P35" s="159" t="str">
        <f>IF(OR($B35="",$C$6&lt;&gt;HKI!$L$6,HKI!$N35=""),"",HKI!$N35)</f>
        <v/>
      </c>
      <c r="Q35" s="159" t="str">
        <f t="shared" si="2"/>
        <v/>
      </c>
    </row>
    <row r="36" spans="1:17" ht="18" customHeight="1">
      <c r="A36" s="123">
        <f>IF(OR($C$6="",$I$6="",$L$6=""),"",IF($B36="","",SUBTOTAL(3,$B$11:B36)))</f>
        <v>26</v>
      </c>
      <c r="B36" s="151" t="str">
        <f>IF(OR($C$6="",$I$6="",$L$6=""),"",IF(HKI!$B36="","",HKI!$B36))</f>
        <v>13D301Đ056</v>
      </c>
      <c r="C36" s="26" t="str">
        <f>IF(OR($C$6="",$I$6="",$L$6=""),"",IF(HKI!$C36="","",HKI!$C36))</f>
        <v>Trần Huy</v>
      </c>
      <c r="D36" s="27" t="str">
        <f>IF(OR($C$6="",$I$6="",$L$6=""),"",IF(HKI!$D36="","",HKI!$D36))</f>
        <v>Hoàng</v>
      </c>
      <c r="E36" s="461"/>
      <c r="F36" s="460">
        <v>7</v>
      </c>
      <c r="G36" s="460">
        <v>7</v>
      </c>
      <c r="H36" s="460">
        <v>7</v>
      </c>
      <c r="I36" s="462"/>
      <c r="J36" s="462"/>
      <c r="K36" s="462"/>
      <c r="L36" s="462">
        <v>7</v>
      </c>
      <c r="M36" s="462">
        <v>5.3</v>
      </c>
      <c r="N36" s="142">
        <f t="shared" si="1"/>
        <v>6.2</v>
      </c>
      <c r="O36" s="160" t="str">
        <f t="shared" si="0"/>
        <v>T.Bình</v>
      </c>
      <c r="P36" s="159" t="str">
        <f>IF(OR($B36="",$C$6&lt;&gt;HKI!$L$6,HKI!$N36=""),"",HKI!$N36)</f>
        <v/>
      </c>
      <c r="Q36" s="159" t="str">
        <f t="shared" si="2"/>
        <v/>
      </c>
    </row>
    <row r="37" spans="1:17" ht="18" customHeight="1">
      <c r="A37" s="123">
        <f>IF(OR($C$6="",$I$6="",$L$6=""),"",IF($B37="","",SUBTOTAL(3,$B$11:B37)))</f>
        <v>27</v>
      </c>
      <c r="B37" s="151" t="str">
        <f>IF(OR($C$6="",$I$6="",$L$6=""),"",IF(HKI!$B37="","",HKI!$B37))</f>
        <v>13D301Đ057</v>
      </c>
      <c r="C37" s="26" t="str">
        <f>IF(OR($C$6="",$I$6="",$L$6=""),"",IF(HKI!$C37="","",HKI!$C37))</f>
        <v>Trịnh Thanh</v>
      </c>
      <c r="D37" s="27" t="str">
        <f>IF(OR($C$6="",$I$6="",$L$6=""),"",IF(HKI!$D37="","",HKI!$D37))</f>
        <v>Hoàng</v>
      </c>
      <c r="E37" s="461"/>
      <c r="F37" s="460">
        <v>7</v>
      </c>
      <c r="G37" s="460">
        <v>7</v>
      </c>
      <c r="H37" s="460">
        <v>7</v>
      </c>
      <c r="I37" s="462"/>
      <c r="J37" s="462"/>
      <c r="K37" s="462"/>
      <c r="L37" s="462">
        <v>7</v>
      </c>
      <c r="M37" s="462">
        <v>7</v>
      </c>
      <c r="N37" s="142">
        <f t="shared" si="1"/>
        <v>7</v>
      </c>
      <c r="O37" s="160" t="str">
        <f t="shared" si="0"/>
        <v>Khá</v>
      </c>
      <c r="P37" s="159" t="str">
        <f>IF(OR($B37="",$C$6&lt;&gt;HKI!$L$6,HKI!$N37=""),"",HKI!$N37)</f>
        <v/>
      </c>
      <c r="Q37" s="159" t="str">
        <f t="shared" si="2"/>
        <v/>
      </c>
    </row>
    <row r="38" spans="1:17" ht="18" customHeight="1">
      <c r="A38" s="123">
        <f>IF(OR($C$6="",$I$6="",$L$6=""),"",IF($B38="","",SUBTOTAL(3,$B$11:B38)))</f>
        <v>28</v>
      </c>
      <c r="B38" s="151" t="str">
        <f>IF(OR($C$6="",$I$6="",$L$6=""),"",IF(HKI!$B38="","",HKI!$B38))</f>
        <v>13D301Đ201</v>
      </c>
      <c r="C38" s="26" t="str">
        <f>IF(OR($C$6="",$I$6="",$L$6=""),"",IF(HKI!$C38="","",HKI!$C38))</f>
        <v>Nguyễn Quang</v>
      </c>
      <c r="D38" s="27" t="str">
        <f>IF(OR($C$6="",$I$6="",$L$6=""),"",IF(HKI!$D38="","",HKI!$D38))</f>
        <v>Huân</v>
      </c>
      <c r="E38" s="461"/>
      <c r="F38" s="460">
        <v>0</v>
      </c>
      <c r="G38" s="460">
        <v>0</v>
      </c>
      <c r="H38" s="460">
        <v>0</v>
      </c>
      <c r="I38" s="462"/>
      <c r="J38" s="462"/>
      <c r="K38" s="462"/>
      <c r="L38" s="462">
        <v>0</v>
      </c>
      <c r="M38" s="462">
        <v>0</v>
      </c>
      <c r="N38" s="142">
        <f t="shared" si="1"/>
        <v>0</v>
      </c>
      <c r="O38" s="160" t="str">
        <f t="shared" si="0"/>
        <v>Kém</v>
      </c>
      <c r="P38" s="159" t="str">
        <f>IF(OR($B38="",$C$6&lt;&gt;HKI!$L$6,HKI!$N38=""),"",HKI!$N38)</f>
        <v/>
      </c>
      <c r="Q38" s="159" t="str">
        <f t="shared" si="2"/>
        <v/>
      </c>
    </row>
    <row r="39" spans="1:17" ht="18" customHeight="1">
      <c r="A39" s="123">
        <f>IF(OR($C$6="",$I$6="",$L$6=""),"",IF($B39="","",SUBTOTAL(3,$B$11:B39)))</f>
        <v>29</v>
      </c>
      <c r="B39" s="151" t="str">
        <f>IF(OR($C$6="",$I$6="",$L$6=""),"",IF(HKI!$B39="","",HKI!$B39))</f>
        <v>13D301Đ061</v>
      </c>
      <c r="C39" s="26" t="str">
        <f>IF(OR($C$6="",$I$6="",$L$6=""),"",IF(HKI!$C39="","",HKI!$C39))</f>
        <v>Huỳnh Thanh</v>
      </c>
      <c r="D39" s="27" t="str">
        <f>IF(OR($C$6="",$I$6="",$L$6=""),"",IF(HKI!$D39="","",HKI!$D39))</f>
        <v>Hùng</v>
      </c>
      <c r="E39" s="461"/>
      <c r="F39" s="460">
        <v>7</v>
      </c>
      <c r="G39" s="460">
        <v>7</v>
      </c>
      <c r="H39" s="460">
        <v>7</v>
      </c>
      <c r="I39" s="462"/>
      <c r="J39" s="462"/>
      <c r="K39" s="462"/>
      <c r="L39" s="462">
        <v>4</v>
      </c>
      <c r="M39" s="462">
        <v>6.5</v>
      </c>
      <c r="N39" s="142">
        <f t="shared" si="1"/>
        <v>5.9</v>
      </c>
      <c r="O39" s="160" t="str">
        <f t="shared" si="0"/>
        <v>T.Bình</v>
      </c>
      <c r="P39" s="159" t="str">
        <f>IF(OR($B39="",$C$6&lt;&gt;HKI!$L$6,HKI!$N39=""),"",HKI!$N39)</f>
        <v/>
      </c>
      <c r="Q39" s="159" t="str">
        <f t="shared" si="2"/>
        <v/>
      </c>
    </row>
    <row r="40" spans="1:17" ht="18" customHeight="1">
      <c r="A40" s="123">
        <f>IF(OR($C$6="",$I$6="",$L$6=""),"",IF($B40="","",SUBTOTAL(3,$B$11:B40)))</f>
        <v>30</v>
      </c>
      <c r="B40" s="151" t="str">
        <f>IF(OR($C$6="",$I$6="",$L$6=""),"",IF(HKI!$B40="","",HKI!$B40))</f>
        <v>13D301Đ065</v>
      </c>
      <c r="C40" s="26" t="str">
        <f>IF(OR($C$6="",$I$6="",$L$6=""),"",IF(HKI!$C40="","",HKI!$C40))</f>
        <v>Đoàn Lê Xuân</v>
      </c>
      <c r="D40" s="27" t="str">
        <f>IF(OR($C$6="",$I$6="",$L$6=""),"",IF(HKI!$D40="","",HKI!$D40))</f>
        <v>Huy</v>
      </c>
      <c r="E40" s="461"/>
      <c r="F40" s="460">
        <v>7</v>
      </c>
      <c r="G40" s="460">
        <v>7</v>
      </c>
      <c r="H40" s="460">
        <v>7</v>
      </c>
      <c r="I40" s="462"/>
      <c r="J40" s="462"/>
      <c r="K40" s="462"/>
      <c r="L40" s="462">
        <v>4</v>
      </c>
      <c r="M40" s="462">
        <v>9.8000000000000007</v>
      </c>
      <c r="N40" s="142">
        <f t="shared" si="1"/>
        <v>7.5</v>
      </c>
      <c r="O40" s="160" t="str">
        <f t="shared" si="0"/>
        <v>Khá</v>
      </c>
      <c r="P40" s="159" t="str">
        <f>IF(OR($B40="",$C$6&lt;&gt;HKI!$L$6,HKI!$N40=""),"",HKI!$N40)</f>
        <v/>
      </c>
      <c r="Q40" s="159" t="str">
        <f t="shared" si="2"/>
        <v/>
      </c>
    </row>
    <row r="41" spans="1:17" ht="18" customHeight="1">
      <c r="A41" s="123">
        <f>IF(OR($C$6="",$I$6="",$L$6=""),"",IF($B41="","",SUBTOTAL(3,$B$11:B41)))</f>
        <v>31</v>
      </c>
      <c r="B41" s="151" t="str">
        <f>IF(OR($C$6="",$I$6="",$L$6=""),"",IF(HKI!$B41="","",HKI!$B41))</f>
        <v>13D301Đ073</v>
      </c>
      <c r="C41" s="26" t="str">
        <f>IF(OR($C$6="",$I$6="",$L$6=""),"",IF(HKI!$C41="","",HKI!$C41))</f>
        <v>Trịnh Đại</v>
      </c>
      <c r="D41" s="27" t="str">
        <f>IF(OR($C$6="",$I$6="",$L$6=""),"",IF(HKI!$D41="","",HKI!$D41))</f>
        <v>Lăng</v>
      </c>
      <c r="E41" s="461"/>
      <c r="F41" s="460">
        <v>7</v>
      </c>
      <c r="G41" s="460">
        <v>7</v>
      </c>
      <c r="H41" s="460">
        <v>7</v>
      </c>
      <c r="I41" s="462"/>
      <c r="J41" s="462"/>
      <c r="K41" s="462"/>
      <c r="L41" s="462">
        <v>5</v>
      </c>
      <c r="M41" s="462">
        <v>8.8000000000000007</v>
      </c>
      <c r="N41" s="142">
        <f t="shared" si="1"/>
        <v>7.3</v>
      </c>
      <c r="O41" s="160" t="str">
        <f t="shared" si="0"/>
        <v>Khá</v>
      </c>
      <c r="P41" s="159" t="str">
        <f>IF(OR($B41="",$C$6&lt;&gt;HKI!$L$6,HKI!$N41=""),"",HKI!$N41)</f>
        <v/>
      </c>
      <c r="Q41" s="159" t="str">
        <f t="shared" si="2"/>
        <v/>
      </c>
    </row>
    <row r="42" spans="1:17" ht="18" customHeight="1">
      <c r="A42" s="123">
        <f>IF(OR($C$6="",$I$6="",$L$6=""),"",IF($B42="","",SUBTOTAL(3,$B$11:B42)))</f>
        <v>32</v>
      </c>
      <c r="B42" s="151" t="str">
        <f>IF(OR($C$6="",$I$6="",$L$6=""),"",IF(HKI!$B42="","",HKI!$B42))</f>
        <v>13D301Đ204</v>
      </c>
      <c r="C42" s="26" t="str">
        <f>IF(OR($C$6="",$I$6="",$L$6=""),"",IF(HKI!$C42="","",HKI!$C42))</f>
        <v>Nguyễn Khánh</v>
      </c>
      <c r="D42" s="27" t="str">
        <f>IF(OR($C$6="",$I$6="",$L$6=""),"",IF(HKI!$D42="","",HKI!$D42))</f>
        <v>Linh</v>
      </c>
      <c r="E42" s="461"/>
      <c r="F42" s="460">
        <v>7</v>
      </c>
      <c r="G42" s="460">
        <v>7</v>
      </c>
      <c r="H42" s="460">
        <v>7</v>
      </c>
      <c r="I42" s="462"/>
      <c r="J42" s="462"/>
      <c r="K42" s="462"/>
      <c r="L42" s="462">
        <v>8</v>
      </c>
      <c r="M42" s="462">
        <v>8.3000000000000007</v>
      </c>
      <c r="N42" s="142">
        <f t="shared" si="1"/>
        <v>8</v>
      </c>
      <c r="O42" s="160" t="str">
        <f t="shared" si="0"/>
        <v>Khá</v>
      </c>
      <c r="P42" s="159" t="str">
        <f>IF(OR($B42="",$C$6&lt;&gt;HKI!$L$6,HKI!$N42=""),"",HKI!$N42)</f>
        <v/>
      </c>
      <c r="Q42" s="159" t="str">
        <f t="shared" si="2"/>
        <v/>
      </c>
    </row>
    <row r="43" spans="1:17" ht="18" customHeight="1">
      <c r="A43" s="123">
        <f>IF(OR($C$6="",$I$6="",$L$6=""),"",IF($B43="","",SUBTOTAL(3,$B$11:B43)))</f>
        <v>33</v>
      </c>
      <c r="B43" s="151" t="str">
        <f>IF(OR($C$6="",$I$6="",$L$6=""),"",IF(HKI!$B43="","",HKI!$B43))</f>
        <v>13D301Đ162</v>
      </c>
      <c r="C43" s="26" t="str">
        <f>IF(OR($C$6="",$I$6="",$L$6=""),"",IF(HKI!$C43="","",HKI!$C43))</f>
        <v>Đỗ Văn</v>
      </c>
      <c r="D43" s="27" t="str">
        <f>IF(OR($C$6="",$I$6="",$L$6=""),"",IF(HKI!$D43="","",HKI!$D43))</f>
        <v>Lượng</v>
      </c>
      <c r="E43" s="461"/>
      <c r="F43" s="460">
        <v>7</v>
      </c>
      <c r="G43" s="460">
        <v>7</v>
      </c>
      <c r="H43" s="460">
        <v>7</v>
      </c>
      <c r="I43" s="462"/>
      <c r="J43" s="462"/>
      <c r="K43" s="462"/>
      <c r="L43" s="462">
        <v>5</v>
      </c>
      <c r="M43" s="462">
        <v>7.8</v>
      </c>
      <c r="N43" s="142">
        <f t="shared" si="1"/>
        <v>6.8</v>
      </c>
      <c r="O43" s="160" t="str">
        <f t="shared" si="0"/>
        <v>T.Bình</v>
      </c>
      <c r="P43" s="159" t="str">
        <f>IF(OR($B43="",$C$6&lt;&gt;HKI!$L$6,HKI!$N43=""),"",HKI!$N43)</f>
        <v/>
      </c>
      <c r="Q43" s="159" t="str">
        <f t="shared" si="2"/>
        <v/>
      </c>
    </row>
    <row r="44" spans="1:17" ht="18" customHeight="1">
      <c r="A44" s="123">
        <f>IF(OR($C$6="",$I$6="",$L$6=""),"",IF($B44="","",SUBTOTAL(3,$B$11:B44)))</f>
        <v>34</v>
      </c>
      <c r="B44" s="151" t="str">
        <f>IF(OR($C$6="",$I$6="",$L$6=""),"",IF(HKI!$B44="","",HKI!$B44))</f>
        <v>13D301Đ081</v>
      </c>
      <c r="C44" s="26" t="str">
        <f>IF(OR($C$6="",$I$6="",$L$6=""),"",IF(HKI!$C44="","",HKI!$C44))</f>
        <v>Mai Đình</v>
      </c>
      <c r="D44" s="27" t="str">
        <f>IF(OR($C$6="",$I$6="",$L$6=""),"",IF(HKI!$D44="","",HKI!$D44))</f>
        <v>Luyện</v>
      </c>
      <c r="E44" s="461"/>
      <c r="F44" s="460">
        <v>7</v>
      </c>
      <c r="G44" s="460">
        <v>7</v>
      </c>
      <c r="H44" s="460">
        <v>7</v>
      </c>
      <c r="I44" s="462"/>
      <c r="J44" s="462"/>
      <c r="K44" s="462"/>
      <c r="L44" s="462">
        <v>6</v>
      </c>
      <c r="M44" s="462">
        <v>5.5</v>
      </c>
      <c r="N44" s="142">
        <f t="shared" si="1"/>
        <v>6</v>
      </c>
      <c r="O44" s="160" t="str">
        <f t="shared" si="0"/>
        <v>T.Bình</v>
      </c>
      <c r="P44" s="159" t="str">
        <f>IF(OR($B44="",$C$6&lt;&gt;HKI!$L$6,HKI!$N44=""),"",HKI!$N44)</f>
        <v/>
      </c>
      <c r="Q44" s="159" t="str">
        <f t="shared" si="2"/>
        <v/>
      </c>
    </row>
    <row r="45" spans="1:17" ht="18" customHeight="1">
      <c r="A45" s="123">
        <f>IF(OR($C$6="",$I$6="",$L$6=""),"",IF($B45="","",SUBTOTAL(3,$B$11:B45)))</f>
        <v>35</v>
      </c>
      <c r="B45" s="151" t="str">
        <f>IF(OR($C$6="",$I$6="",$L$6=""),"",IF(HKI!$B45="","",HKI!$B45))</f>
        <v>13D301Đ085</v>
      </c>
      <c r="C45" s="26" t="str">
        <f>IF(OR($C$6="",$I$6="",$L$6=""),"",IF(HKI!$C45="","",HKI!$C45))</f>
        <v>Võ Hoài</v>
      </c>
      <c r="D45" s="27" t="str">
        <f>IF(OR($C$6="",$I$6="",$L$6=""),"",IF(HKI!$D45="","",HKI!$D45))</f>
        <v>Nam</v>
      </c>
      <c r="E45" s="461"/>
      <c r="F45" s="460">
        <v>7</v>
      </c>
      <c r="G45" s="460">
        <v>7</v>
      </c>
      <c r="H45" s="460">
        <v>7</v>
      </c>
      <c r="I45" s="462"/>
      <c r="J45" s="462"/>
      <c r="K45" s="462"/>
      <c r="L45" s="462">
        <v>6</v>
      </c>
      <c r="M45" s="462">
        <v>8.5</v>
      </c>
      <c r="N45" s="142">
        <f t="shared" si="1"/>
        <v>7.5</v>
      </c>
      <c r="O45" s="160" t="str">
        <f t="shared" si="0"/>
        <v>Khá</v>
      </c>
      <c r="P45" s="159" t="str">
        <f>IF(OR($B45="",$C$6&lt;&gt;HKI!$L$6,HKI!$N45=""),"",HKI!$N45)</f>
        <v/>
      </c>
      <c r="Q45" s="159" t="str">
        <f t="shared" si="2"/>
        <v/>
      </c>
    </row>
    <row r="46" spans="1:17" ht="18" customHeight="1">
      <c r="A46" s="123">
        <f>IF(OR($C$6="",$I$6="",$L$6=""),"",IF($B46="","",SUBTOTAL(3,$B$11:B46)))</f>
        <v>36</v>
      </c>
      <c r="B46" s="151" t="str">
        <f>IF(OR($C$6="",$I$6="",$L$6=""),"",IF(HKI!$B46="","",HKI!$B46))</f>
        <v>13D301Đ089</v>
      </c>
      <c r="C46" s="26" t="str">
        <f>IF(OR($C$6="",$I$6="",$L$6=""),"",IF(HKI!$C46="","",HKI!$C46))</f>
        <v>Nguyễn Hữu</v>
      </c>
      <c r="D46" s="27" t="str">
        <f>IF(OR($C$6="",$I$6="",$L$6=""),"",IF(HKI!$D46="","",HKI!$D46))</f>
        <v>Nghĩa</v>
      </c>
      <c r="E46" s="461"/>
      <c r="F46" s="460">
        <v>7</v>
      </c>
      <c r="G46" s="460">
        <v>7</v>
      </c>
      <c r="H46" s="460">
        <v>7</v>
      </c>
      <c r="I46" s="462"/>
      <c r="J46" s="462"/>
      <c r="K46" s="462"/>
      <c r="L46" s="462">
        <v>7</v>
      </c>
      <c r="M46" s="462">
        <v>7.8</v>
      </c>
      <c r="N46" s="142">
        <f t="shared" si="1"/>
        <v>7.4</v>
      </c>
      <c r="O46" s="160" t="str">
        <f t="shared" si="0"/>
        <v>Khá</v>
      </c>
      <c r="P46" s="159" t="str">
        <f>IF(OR($B46="",$C$6&lt;&gt;HKI!$L$6,HKI!$N46=""),"",HKI!$N46)</f>
        <v/>
      </c>
      <c r="Q46" s="159" t="str">
        <f t="shared" si="2"/>
        <v/>
      </c>
    </row>
    <row r="47" spans="1:17" ht="18" customHeight="1">
      <c r="A47" s="123">
        <f>IF(OR($C$6="",$I$6="",$L$6=""),"",IF($B47="","",SUBTOTAL(3,$B$11:B47)))</f>
        <v>37</v>
      </c>
      <c r="B47" s="151" t="str">
        <f>IF(OR($C$6="",$I$6="",$L$6=""),"",IF(HKI!$B47="","",HKI!$B47))</f>
        <v>13D301Đ097</v>
      </c>
      <c r="C47" s="26" t="str">
        <f>IF(OR($C$6="",$I$6="",$L$6=""),"",IF(HKI!$C47="","",HKI!$C47))</f>
        <v>Nguyễn Thành</v>
      </c>
      <c r="D47" s="27" t="str">
        <f>IF(OR($C$6="",$I$6="",$L$6=""),"",IF(HKI!$D47="","",HKI!$D47))</f>
        <v>Phát</v>
      </c>
      <c r="E47" s="461"/>
      <c r="F47" s="460">
        <v>9</v>
      </c>
      <c r="G47" s="460">
        <v>9</v>
      </c>
      <c r="H47" s="460">
        <v>9</v>
      </c>
      <c r="I47" s="462"/>
      <c r="J47" s="462"/>
      <c r="K47" s="462"/>
      <c r="L47" s="462">
        <v>8</v>
      </c>
      <c r="M47" s="462">
        <v>9.3000000000000007</v>
      </c>
      <c r="N47" s="142">
        <f t="shared" si="1"/>
        <v>8.9</v>
      </c>
      <c r="O47" s="160" t="str">
        <f t="shared" si="0"/>
        <v>Giỏi</v>
      </c>
      <c r="P47" s="159" t="str">
        <f>IF(OR($B47="",$C$6&lt;&gt;HKI!$L$6,HKI!$N47=""),"",HKI!$N47)</f>
        <v/>
      </c>
      <c r="Q47" s="159" t="str">
        <f t="shared" si="2"/>
        <v/>
      </c>
    </row>
    <row r="48" spans="1:17" ht="18" customHeight="1">
      <c r="A48" s="123">
        <f>IF(OR($C$6="",$I$6="",$L$6=""),"",IF($B48="","",SUBTOTAL(3,$B$11:B48)))</f>
        <v>38</v>
      </c>
      <c r="B48" s="151" t="str">
        <f>IF(OR($C$6="",$I$6="",$L$6=""),"",IF(HKI!$B48="","",HKI!$B48))</f>
        <v>13D301Đ101</v>
      </c>
      <c r="C48" s="26" t="str">
        <f>IF(OR($C$6="",$I$6="",$L$6=""),"",IF(HKI!$C48="","",HKI!$C48))</f>
        <v>Huỳnh Thanh</v>
      </c>
      <c r="D48" s="27" t="str">
        <f>IF(OR($C$6="",$I$6="",$L$6=""),"",IF(HKI!$D48="","",HKI!$D48))</f>
        <v>Phú</v>
      </c>
      <c r="E48" s="461"/>
      <c r="F48" s="460">
        <v>0</v>
      </c>
      <c r="G48" s="460">
        <v>0</v>
      </c>
      <c r="H48" s="460">
        <v>0</v>
      </c>
      <c r="I48" s="462"/>
      <c r="J48" s="462"/>
      <c r="K48" s="462"/>
      <c r="L48" s="462">
        <v>0</v>
      </c>
      <c r="M48" s="462">
        <v>0</v>
      </c>
      <c r="N48" s="142">
        <f t="shared" si="1"/>
        <v>0</v>
      </c>
      <c r="O48" s="160" t="str">
        <f t="shared" si="0"/>
        <v>Kém</v>
      </c>
      <c r="P48" s="159" t="str">
        <f>IF(OR($B48="",$C$6&lt;&gt;HKI!$L$6,HKI!$N48=""),"",HKI!$N48)</f>
        <v/>
      </c>
      <c r="Q48" s="159" t="str">
        <f t="shared" si="2"/>
        <v/>
      </c>
    </row>
    <row r="49" spans="1:17" ht="18" customHeight="1">
      <c r="A49" s="123">
        <f>IF(OR($C$6="",$I$6="",$L$6=""),"",IF($B49="","",SUBTOTAL(3,$B$11:B49)))</f>
        <v>39</v>
      </c>
      <c r="B49" s="151" t="str">
        <f>IF(OR($C$6="",$I$6="",$L$6=""),"",IF(HKI!$B49="","",HKI!$B49))</f>
        <v>13D301Đ117</v>
      </c>
      <c r="C49" s="26" t="str">
        <f>IF(OR($C$6="",$I$6="",$L$6=""),"",IF(HKI!$C49="","",HKI!$C49))</f>
        <v>Trịnh Ngọc</v>
      </c>
      <c r="D49" s="27" t="str">
        <f>IF(OR($C$6="",$I$6="",$L$6=""),"",IF(HKI!$D49="","",HKI!$D49))</f>
        <v>Sơn</v>
      </c>
      <c r="E49" s="461"/>
      <c r="F49" s="460">
        <v>0</v>
      </c>
      <c r="G49" s="460">
        <v>0</v>
      </c>
      <c r="H49" s="460">
        <v>0</v>
      </c>
      <c r="I49" s="462"/>
      <c r="J49" s="462"/>
      <c r="K49" s="462"/>
      <c r="L49" s="462">
        <v>0</v>
      </c>
      <c r="M49" s="462">
        <v>0</v>
      </c>
      <c r="N49" s="142">
        <f t="shared" si="1"/>
        <v>0</v>
      </c>
      <c r="O49" s="160" t="str">
        <f t="shared" si="0"/>
        <v>Kém</v>
      </c>
      <c r="P49" s="159" t="str">
        <f>IF(OR($B49="",$C$6&lt;&gt;HKI!$L$6,HKI!$N49=""),"",HKI!$N49)</f>
        <v/>
      </c>
      <c r="Q49" s="159" t="str">
        <f t="shared" si="2"/>
        <v/>
      </c>
    </row>
    <row r="50" spans="1:17" ht="18" customHeight="1">
      <c r="A50" s="123">
        <f>IF(OR($C$6="",$I$6="",$L$6=""),"",IF($B50="","",SUBTOTAL(3,$B$11:B50)))</f>
        <v>40</v>
      </c>
      <c r="B50" s="151" t="str">
        <f>IF(OR($C$6="",$I$6="",$L$6=""),"",IF(HKI!$B50="","",HKI!$B50))</f>
        <v>13D301Đ121</v>
      </c>
      <c r="C50" s="26" t="str">
        <f>IF(OR($C$6="",$I$6="",$L$6=""),"",IF(HKI!$C50="","",HKI!$C50))</f>
        <v>Lê Minh</v>
      </c>
      <c r="D50" s="27" t="str">
        <f>IF(OR($C$6="",$I$6="",$L$6=""),"",IF(HKI!$D50="","",HKI!$D50))</f>
        <v>Tâm</v>
      </c>
      <c r="E50" s="461"/>
      <c r="F50" s="460">
        <v>7</v>
      </c>
      <c r="G50" s="460">
        <v>7</v>
      </c>
      <c r="H50" s="460">
        <v>7</v>
      </c>
      <c r="I50" s="462"/>
      <c r="J50" s="462"/>
      <c r="K50" s="462"/>
      <c r="L50" s="462">
        <v>4</v>
      </c>
      <c r="M50" s="462">
        <v>4.5</v>
      </c>
      <c r="N50" s="142">
        <f t="shared" si="1"/>
        <v>4.9000000000000004</v>
      </c>
      <c r="O50" s="160" t="str">
        <f t="shared" si="0"/>
        <v>TB Yếu</v>
      </c>
      <c r="P50" s="159" t="str">
        <f>IF(OR($B50="",$C$6&lt;&gt;HKI!$L$6,HKI!$N50=""),"",HKI!$N50)</f>
        <v/>
      </c>
      <c r="Q50" s="159" t="str">
        <f t="shared" si="2"/>
        <v/>
      </c>
    </row>
    <row r="51" spans="1:17" ht="18" customHeight="1">
      <c r="A51" s="123">
        <f>IF(OR($C$6="",$I$6="",$L$6=""),"",IF($B51="","",SUBTOTAL(3,$B$11:B51)))</f>
        <v>41</v>
      </c>
      <c r="B51" s="151" t="str">
        <f>IF(OR($C$6="",$I$6="",$L$6=""),"",IF(HKI!$B51="","",HKI!$B51))</f>
        <v>13D301Đ124</v>
      </c>
      <c r="C51" s="26" t="str">
        <f>IF(OR($C$6="",$I$6="",$L$6=""),"",IF(HKI!$C51="","",HKI!$C51))</f>
        <v>Cao Nguyễn Nhật</v>
      </c>
      <c r="D51" s="27" t="str">
        <f>IF(OR($C$6="",$I$6="",$L$6=""),"",IF(HKI!$D51="","",HKI!$D51))</f>
        <v>Tân</v>
      </c>
      <c r="E51" s="461"/>
      <c r="F51" s="460">
        <v>7</v>
      </c>
      <c r="G51" s="460">
        <v>7</v>
      </c>
      <c r="H51" s="460">
        <v>7</v>
      </c>
      <c r="I51" s="462"/>
      <c r="J51" s="462"/>
      <c r="K51" s="462"/>
      <c r="L51" s="462">
        <v>7</v>
      </c>
      <c r="M51" s="462">
        <v>7.3</v>
      </c>
      <c r="N51" s="142">
        <f t="shared" si="1"/>
        <v>7.2</v>
      </c>
      <c r="O51" s="160" t="str">
        <f t="shared" si="0"/>
        <v>Khá</v>
      </c>
      <c r="P51" s="159" t="str">
        <f>IF(OR($B51="",$C$6&lt;&gt;HKI!$L$6,HKI!$N51=""),"",HKI!$N51)</f>
        <v/>
      </c>
      <c r="Q51" s="159" t="str">
        <f t="shared" si="2"/>
        <v/>
      </c>
    </row>
    <row r="52" spans="1:17" ht="18" customHeight="1">
      <c r="A52" s="123">
        <f>IF(OR($C$6="",$I$6="",$L$6=""),"",IF($B52="","",SUBTOTAL(3,$B$11:B52)))</f>
        <v>42</v>
      </c>
      <c r="B52" s="151" t="str">
        <f>IF(OR($C$6="",$I$6="",$L$6=""),"",IF(HKI!$B52="","",HKI!$B52))</f>
        <v>13D301Đ130</v>
      </c>
      <c r="C52" s="26" t="str">
        <f>IF(OR($C$6="",$I$6="",$L$6=""),"",IF(HKI!$C52="","",HKI!$C52))</f>
        <v>Nguyễn Việt</v>
      </c>
      <c r="D52" s="27" t="str">
        <f>IF(OR($C$6="",$I$6="",$L$6=""),"",IF(HKI!$D52="","",HKI!$D52))</f>
        <v>Thắng</v>
      </c>
      <c r="E52" s="461"/>
      <c r="F52" s="460">
        <v>7</v>
      </c>
      <c r="G52" s="460">
        <v>7</v>
      </c>
      <c r="H52" s="460">
        <v>7</v>
      </c>
      <c r="I52" s="462"/>
      <c r="J52" s="462"/>
      <c r="K52" s="462"/>
      <c r="L52" s="462">
        <v>3</v>
      </c>
      <c r="M52" s="462">
        <v>6.5</v>
      </c>
      <c r="N52" s="142">
        <f t="shared" si="1"/>
        <v>5.6</v>
      </c>
      <c r="O52" s="160" t="str">
        <f t="shared" si="0"/>
        <v>T.Bình</v>
      </c>
      <c r="P52" s="159" t="str">
        <f>IF(OR($B52="",$C$6&lt;&gt;HKI!$L$6,HKI!$N52=""),"",HKI!$N52)</f>
        <v/>
      </c>
      <c r="Q52" s="159" t="str">
        <f t="shared" si="2"/>
        <v/>
      </c>
    </row>
    <row r="53" spans="1:17" ht="18" customHeight="1">
      <c r="A53" s="123">
        <f>IF(OR($C$6="",$I$6="",$L$6=""),"",IF($B53="","",SUBTOTAL(3,$B$11:B53)))</f>
        <v>43</v>
      </c>
      <c r="B53" s="151" t="str">
        <f>IF(OR($C$6="",$I$6="",$L$6=""),"",IF(HKI!$B53="","",HKI!$B53))</f>
        <v>13D301Đ136</v>
      </c>
      <c r="C53" s="26" t="str">
        <f>IF(OR($C$6="",$I$6="",$L$6=""),"",IF(HKI!$C53="","",HKI!$C53))</f>
        <v>Trần Minh</v>
      </c>
      <c r="D53" s="27" t="str">
        <f>IF(OR($C$6="",$I$6="",$L$6=""),"",IF(HKI!$D53="","",HKI!$D53))</f>
        <v>Thanh</v>
      </c>
      <c r="E53" s="461"/>
      <c r="F53" s="460">
        <v>7</v>
      </c>
      <c r="G53" s="460">
        <v>7</v>
      </c>
      <c r="H53" s="460">
        <v>7</v>
      </c>
      <c r="I53" s="462"/>
      <c r="J53" s="462"/>
      <c r="K53" s="462"/>
      <c r="L53" s="462">
        <v>7</v>
      </c>
      <c r="M53" s="462">
        <v>8.8000000000000007</v>
      </c>
      <c r="N53" s="142">
        <f t="shared" si="1"/>
        <v>7.9</v>
      </c>
      <c r="O53" s="160" t="str">
        <f t="shared" si="0"/>
        <v>Khá</v>
      </c>
      <c r="P53" s="159" t="str">
        <f>IF(OR($B53="",$C$6&lt;&gt;HKI!$L$6,HKI!$N53=""),"",HKI!$N53)</f>
        <v/>
      </c>
      <c r="Q53" s="159" t="str">
        <f t="shared" si="2"/>
        <v/>
      </c>
    </row>
    <row r="54" spans="1:17" ht="18" customHeight="1">
      <c r="A54" s="123">
        <f>IF(OR($C$6="",$I$6="",$L$6=""),"",IF($B54="","",SUBTOTAL(3,$B$11:B54)))</f>
        <v>44</v>
      </c>
      <c r="B54" s="151" t="str">
        <f>IF(OR($C$6="",$I$6="",$L$6=""),"",IF(HKI!$B54="","",HKI!$B54))</f>
        <v>13D301Đ133</v>
      </c>
      <c r="C54" s="26" t="str">
        <f>IF(OR($C$6="",$I$6="",$L$6=""),"",IF(HKI!$C54="","",HKI!$C54))</f>
        <v>Nguyễn Khắc</v>
      </c>
      <c r="D54" s="27" t="str">
        <f>IF(OR($C$6="",$I$6="",$L$6=""),"",IF(HKI!$D54="","",HKI!$D54))</f>
        <v>Thành</v>
      </c>
      <c r="E54" s="461"/>
      <c r="F54" s="460">
        <v>7</v>
      </c>
      <c r="G54" s="460">
        <v>7</v>
      </c>
      <c r="H54" s="460">
        <v>7</v>
      </c>
      <c r="I54" s="462"/>
      <c r="J54" s="462"/>
      <c r="K54" s="462"/>
      <c r="L54" s="462">
        <v>7</v>
      </c>
      <c r="M54" s="462">
        <v>6</v>
      </c>
      <c r="N54" s="142">
        <f t="shared" si="1"/>
        <v>6.5</v>
      </c>
      <c r="O54" s="160" t="str">
        <f t="shared" si="0"/>
        <v>T.Bình</v>
      </c>
      <c r="P54" s="159" t="str">
        <f>IF(OR($B54="",$C$6&lt;&gt;HKI!$L$6,HKI!$N54=""),"",HKI!$N54)</f>
        <v/>
      </c>
      <c r="Q54" s="159" t="str">
        <f t="shared" si="2"/>
        <v/>
      </c>
    </row>
    <row r="55" spans="1:17" ht="18" customHeight="1">
      <c r="A55" s="123">
        <f>IF(OR($C$6="",$I$6="",$L$6=""),"",IF($B55="","",SUBTOTAL(3,$B$11:B55)))</f>
        <v>45</v>
      </c>
      <c r="B55" s="151" t="str">
        <f>IF(OR($C$6="",$I$6="",$L$6=""),"",IF(HKI!$B55="","",HKI!$B55))</f>
        <v>13D301Đ169</v>
      </c>
      <c r="C55" s="26" t="str">
        <f>IF(OR($C$6="",$I$6="",$L$6=""),"",IF(HKI!$C55="","",HKI!$C55))</f>
        <v>Nguyễn Thanh</v>
      </c>
      <c r="D55" s="27" t="str">
        <f>IF(OR($C$6="",$I$6="",$L$6=""),"",IF(HKI!$D55="","",HKI!$D55))</f>
        <v>Thảo</v>
      </c>
      <c r="E55" s="461"/>
      <c r="F55" s="460">
        <v>7</v>
      </c>
      <c r="G55" s="460">
        <v>7</v>
      </c>
      <c r="H55" s="460">
        <v>7</v>
      </c>
      <c r="I55" s="462"/>
      <c r="J55" s="462"/>
      <c r="K55" s="462"/>
      <c r="L55" s="462">
        <v>3</v>
      </c>
      <c r="M55" s="462">
        <v>8</v>
      </c>
      <c r="N55" s="142">
        <f t="shared" si="1"/>
        <v>6.3</v>
      </c>
      <c r="O55" s="160" t="str">
        <f t="shared" si="0"/>
        <v>T.Bình</v>
      </c>
      <c r="P55" s="159" t="str">
        <f>IF(OR($B55="",$C$6&lt;&gt;HKI!$L$6,HKI!$N55=""),"",HKI!$N55)</f>
        <v/>
      </c>
      <c r="Q55" s="159" t="str">
        <f t="shared" si="2"/>
        <v/>
      </c>
    </row>
    <row r="56" spans="1:17" ht="18" customHeight="1">
      <c r="A56" s="123">
        <f>IF(OR($C$6="",$I$6="",$L$6=""),"",IF($B56="","",SUBTOTAL(3,$B$11:B56)))</f>
        <v>46</v>
      </c>
      <c r="B56" s="151" t="str">
        <f>IF(OR($C$6="",$I$6="",$L$6=""),"",IF(HKI!$B56="","",HKI!$B56))</f>
        <v>13D301Đ154</v>
      </c>
      <c r="C56" s="26" t="str">
        <f>IF(OR($C$6="",$I$6="",$L$6=""),"",IF(HKI!$C56="","",HKI!$C56))</f>
        <v>Võ Đức</v>
      </c>
      <c r="D56" s="27" t="str">
        <f>IF(OR($C$6="",$I$6="",$L$6=""),"",IF(HKI!$D56="","",HKI!$D56))</f>
        <v>Trí</v>
      </c>
      <c r="E56" s="461"/>
      <c r="F56" s="460">
        <v>7</v>
      </c>
      <c r="G56" s="460">
        <v>7</v>
      </c>
      <c r="H56" s="460">
        <v>7</v>
      </c>
      <c r="I56" s="462"/>
      <c r="J56" s="462"/>
      <c r="K56" s="462"/>
      <c r="L56" s="462">
        <v>3</v>
      </c>
      <c r="M56" s="462">
        <v>5.5</v>
      </c>
      <c r="N56" s="142">
        <f t="shared" si="1"/>
        <v>5.0999999999999996</v>
      </c>
      <c r="O56" s="160" t="str">
        <f t="shared" si="0"/>
        <v>TB Yếu</v>
      </c>
      <c r="P56" s="159" t="str">
        <f>IF(OR($B56="",$C$6&lt;&gt;HKI!$L$6,HKI!$N56=""),"",HKI!$N56)</f>
        <v/>
      </c>
      <c r="Q56" s="159" t="str">
        <f t="shared" si="2"/>
        <v/>
      </c>
    </row>
    <row r="57" spans="1:17" ht="18" customHeight="1">
      <c r="A57" s="123">
        <f>IF(OR($C$6="",$I$6="",$L$6=""),"",IF($B57="","",SUBTOTAL(3,$B$11:B57)))</f>
        <v>47</v>
      </c>
      <c r="B57" s="151" t="str">
        <f>IF(OR($C$6="",$I$6="",$L$6=""),"",IF(HKI!$B57="","",HKI!$B57))</f>
        <v>13D301Đ160</v>
      </c>
      <c r="C57" s="26" t="str">
        <f>IF(OR($C$6="",$I$6="",$L$6=""),"",IF(HKI!$C57="","",HKI!$C57))</f>
        <v>Nguyễn Bá</v>
      </c>
      <c r="D57" s="27" t="str">
        <f>IF(OR($C$6="",$I$6="",$L$6=""),"",IF(HKI!$D57="","",HKI!$D57))</f>
        <v>Trung</v>
      </c>
      <c r="E57" s="461"/>
      <c r="F57" s="460">
        <v>7</v>
      </c>
      <c r="G57" s="460">
        <v>7</v>
      </c>
      <c r="H57" s="460">
        <v>7</v>
      </c>
      <c r="I57" s="462"/>
      <c r="J57" s="462"/>
      <c r="K57" s="462"/>
      <c r="L57" s="462">
        <v>7</v>
      </c>
      <c r="M57" s="462">
        <v>8.5</v>
      </c>
      <c r="N57" s="142">
        <f t="shared" si="1"/>
        <v>7.8</v>
      </c>
      <c r="O57" s="160" t="str">
        <f t="shared" si="0"/>
        <v>Khá</v>
      </c>
      <c r="P57" s="159" t="str">
        <f>IF(OR($B57="",$C$6&lt;&gt;HKI!$L$6,HKI!$N57=""),"",HKI!$N57)</f>
        <v/>
      </c>
      <c r="Q57" s="159" t="str">
        <f t="shared" si="2"/>
        <v/>
      </c>
    </row>
    <row r="58" spans="1:17" ht="18" customHeight="1">
      <c r="A58" s="123">
        <f>IF(OR($C$6="",$I$6="",$L$6=""),"",IF($B58="","",SUBTOTAL(3,$B$11:B58)))</f>
        <v>48</v>
      </c>
      <c r="B58" s="151" t="str">
        <f>IF(OR($C$6="",$I$6="",$L$6=""),"",IF(HKI!$B58="","",HKI!$B58))</f>
        <v>13D301Đ163</v>
      </c>
      <c r="C58" s="26" t="str">
        <f>IF(OR($C$6="",$I$6="",$L$6=""),"",IF(HKI!$C58="","",HKI!$C58))</f>
        <v>Mai Ngọc</v>
      </c>
      <c r="D58" s="27" t="str">
        <f>IF(OR($C$6="",$I$6="",$L$6=""),"",IF(HKI!$D58="","",HKI!$D58))</f>
        <v>Trước</v>
      </c>
      <c r="E58" s="461"/>
      <c r="F58" s="460">
        <v>9</v>
      </c>
      <c r="G58" s="460">
        <v>9</v>
      </c>
      <c r="H58" s="460">
        <v>9</v>
      </c>
      <c r="I58" s="462"/>
      <c r="J58" s="462"/>
      <c r="K58" s="462"/>
      <c r="L58" s="462">
        <v>8</v>
      </c>
      <c r="M58" s="462">
        <v>8</v>
      </c>
      <c r="N58" s="142">
        <f t="shared" si="1"/>
        <v>8.1999999999999993</v>
      </c>
      <c r="O58" s="160" t="str">
        <f t="shared" si="0"/>
        <v>Khá</v>
      </c>
      <c r="P58" s="159" t="str">
        <f>IF(OR($B58="",$C$6&lt;&gt;HKI!$L$6,HKI!$N58=""),"",HKI!$N58)</f>
        <v/>
      </c>
      <c r="Q58" s="159" t="str">
        <f t="shared" si="2"/>
        <v/>
      </c>
    </row>
    <row r="59" spans="1:17" ht="18" customHeight="1">
      <c r="A59" s="123">
        <f>IF(OR($C$6="",$I$6="",$L$6=""),"",IF($B59="","",SUBTOTAL(3,$B$11:B59)))</f>
        <v>49</v>
      </c>
      <c r="B59" s="151" t="str">
        <f>IF(OR($C$6="",$I$6="",$L$6=""),"",IF(HKI!$B59="","",HKI!$B59))</f>
        <v>13D301Đ166</v>
      </c>
      <c r="C59" s="26" t="str">
        <f>IF(OR($C$6="",$I$6="",$L$6=""),"",IF(HKI!$C59="","",HKI!$C59))</f>
        <v>Nguyễn Văn</v>
      </c>
      <c r="D59" s="27" t="str">
        <f>IF(OR($C$6="",$I$6="",$L$6=""),"",IF(HKI!$D59="","",HKI!$D59))</f>
        <v>Tư</v>
      </c>
      <c r="E59" s="461"/>
      <c r="F59" s="460">
        <v>0</v>
      </c>
      <c r="G59" s="460">
        <v>0</v>
      </c>
      <c r="H59" s="460">
        <v>0</v>
      </c>
      <c r="I59" s="462"/>
      <c r="J59" s="462"/>
      <c r="K59" s="462"/>
      <c r="L59" s="462">
        <v>0</v>
      </c>
      <c r="M59" s="462">
        <v>0</v>
      </c>
      <c r="N59" s="142">
        <f t="shared" si="1"/>
        <v>0</v>
      </c>
      <c r="O59" s="160" t="str">
        <f t="shared" si="0"/>
        <v>Kém</v>
      </c>
      <c r="P59" s="159" t="str">
        <f>IF(OR($B59="",$C$6&lt;&gt;HKI!$L$6,HKI!$N59=""),"",HKI!$N59)</f>
        <v/>
      </c>
      <c r="Q59" s="159" t="str">
        <f t="shared" si="2"/>
        <v/>
      </c>
    </row>
    <row r="60" spans="1:17" ht="18" customHeight="1">
      <c r="A60" s="123">
        <f>IF(OR($C$6="",$I$6="",$L$6=""),"",IF($B60="","",SUBTOTAL(3,$B$11:B60)))</f>
        <v>50</v>
      </c>
      <c r="B60" s="151" t="str">
        <f>IF(OR($C$6="",$I$6="",$L$6=""),"",IF(HKI!$B60="","",HKI!$B60))</f>
        <v>13D301Đ178</v>
      </c>
      <c r="C60" s="26" t="str">
        <f>IF(OR($C$6="",$I$6="",$L$6=""),"",IF(HKI!$C60="","",HKI!$C60))</f>
        <v>Lê Văn</v>
      </c>
      <c r="D60" s="27" t="str">
        <f>IF(OR($C$6="",$I$6="",$L$6=""),"",IF(HKI!$D60="","",HKI!$D60))</f>
        <v>Vũ</v>
      </c>
      <c r="E60" s="461"/>
      <c r="F60" s="460">
        <v>0</v>
      </c>
      <c r="G60" s="460">
        <v>0</v>
      </c>
      <c r="H60" s="460">
        <v>0</v>
      </c>
      <c r="I60" s="462"/>
      <c r="J60" s="462"/>
      <c r="K60" s="462"/>
      <c r="L60" s="462">
        <v>0</v>
      </c>
      <c r="M60" s="462">
        <v>0</v>
      </c>
      <c r="N60" s="142">
        <f t="shared" si="1"/>
        <v>0</v>
      </c>
      <c r="O60" s="160" t="str">
        <f t="shared" si="0"/>
        <v>Kém</v>
      </c>
      <c r="P60" s="159" t="str">
        <f>IF(OR($B60="",$C$6&lt;&gt;HKI!$L$6,HKI!$N60=""),"",HKI!$N60)</f>
        <v/>
      </c>
      <c r="Q60" s="159" t="str">
        <f t="shared" si="2"/>
        <v/>
      </c>
    </row>
    <row r="61" spans="1:17" ht="18" customHeight="1">
      <c r="A61" s="123" t="str">
        <f>IF(OR($C$6="",$I$6="",$L$6=""),"",IF($B61="","",SUBTOTAL(3,$B$11:B61)))</f>
        <v/>
      </c>
      <c r="B61" s="151" t="str">
        <f>IF(OR($C$6="",$I$6="",$L$6=""),"",IF(HKI!$B61="","",HKI!$B61))</f>
        <v/>
      </c>
      <c r="C61" s="26" t="str">
        <f>IF(OR($C$6="",$I$6="",$L$6=""),"",IF(HKI!$C61="","",HKI!$C61))</f>
        <v/>
      </c>
      <c r="D61" s="27" t="str">
        <f>IF(OR($C$6="",$I$6="",$L$6=""),"",IF(HKI!$D61="","",HKI!$D61))</f>
        <v/>
      </c>
      <c r="E61" s="45"/>
      <c r="F61" s="143"/>
      <c r="G61" s="143"/>
      <c r="H61" s="143"/>
      <c r="I61" s="143"/>
      <c r="J61" s="143"/>
      <c r="K61" s="143"/>
      <c r="L61" s="143"/>
      <c r="M61" s="143"/>
      <c r="N61" s="142" t="str">
        <f t="shared" si="1"/>
        <v/>
      </c>
      <c r="O61" s="160" t="str">
        <f t="shared" si="0"/>
        <v/>
      </c>
      <c r="P61" s="159" t="str">
        <f>IF(OR($B61="",$C$6&lt;&gt;HKI!$L$6,HKI!$N61=""),"",HKI!$N61)</f>
        <v/>
      </c>
      <c r="Q61" s="159" t="str">
        <f t="shared" si="2"/>
        <v/>
      </c>
    </row>
    <row r="62" spans="1:17" ht="18" customHeight="1">
      <c r="A62" s="123" t="str">
        <f>IF(OR($C$6="",$I$6="",$L$6=""),"",IF($B62="","",SUBTOTAL(3,$B$11:B62)))</f>
        <v/>
      </c>
      <c r="B62" s="151" t="str">
        <f>IF(OR($C$6="",$I$6="",$L$6=""),"",IF(HKI!$B62="","",HKI!$B62))</f>
        <v/>
      </c>
      <c r="C62" s="26" t="str">
        <f>IF(OR($C$6="",$I$6="",$L$6=""),"",IF(HKI!$C62="","",HKI!$C62))</f>
        <v/>
      </c>
      <c r="D62" s="27" t="str">
        <f>IF(OR($C$6="",$I$6="",$L$6=""),"",IF(HKI!$D62="","",HKI!$D62))</f>
        <v/>
      </c>
      <c r="E62" s="45"/>
      <c r="F62" s="143"/>
      <c r="G62" s="143"/>
      <c r="H62" s="143"/>
      <c r="I62" s="143"/>
      <c r="J62" s="143"/>
      <c r="K62" s="143"/>
      <c r="L62" s="143"/>
      <c r="M62" s="143"/>
      <c r="N62" s="142" t="str">
        <f t="shared" si="1"/>
        <v/>
      </c>
      <c r="O62" s="160" t="str">
        <f t="shared" si="0"/>
        <v/>
      </c>
      <c r="P62" s="159" t="str">
        <f>IF(OR($B62="",$C$6&lt;&gt;HKI!$L$6,HKI!$N62=""),"",HKI!$N62)</f>
        <v/>
      </c>
      <c r="Q62" s="159" t="str">
        <f t="shared" si="2"/>
        <v/>
      </c>
    </row>
    <row r="63" spans="1:17" ht="18" customHeight="1">
      <c r="A63" s="123" t="str">
        <f>IF(OR($C$6="",$I$6="",$L$6=""),"",IF($B63="","",SUBTOTAL(3,$B$11:B63)))</f>
        <v/>
      </c>
      <c r="B63" s="151" t="str">
        <f>IF(OR($C$6="",$I$6="",$L$6=""),"",IF(HKI!$B63="","",HKI!$B63))</f>
        <v/>
      </c>
      <c r="C63" s="26" t="str">
        <f>IF(OR($C$6="",$I$6="",$L$6=""),"",IF(HKI!$C63="","",HKI!$C63))</f>
        <v/>
      </c>
      <c r="D63" s="27" t="str">
        <f>IF(OR($C$6="",$I$6="",$L$6=""),"",IF(HKI!$D63="","",HKI!$D63))</f>
        <v/>
      </c>
      <c r="E63" s="45"/>
      <c r="F63" s="143"/>
      <c r="G63" s="143"/>
      <c r="H63" s="143"/>
      <c r="I63" s="143"/>
      <c r="J63" s="143"/>
      <c r="K63" s="143"/>
      <c r="L63" s="143"/>
      <c r="M63" s="143"/>
      <c r="N63" s="142" t="str">
        <f t="shared" si="1"/>
        <v/>
      </c>
      <c r="O63" s="160" t="str">
        <f t="shared" si="0"/>
        <v/>
      </c>
      <c r="P63" s="159" t="str">
        <f>IF(OR($B63="",$C$6&lt;&gt;HKI!$L$6,HKI!$N63=""),"",HKI!$N63)</f>
        <v/>
      </c>
      <c r="Q63" s="159" t="str">
        <f t="shared" si="2"/>
        <v/>
      </c>
    </row>
    <row r="64" spans="1:17" ht="18" customHeight="1">
      <c r="A64" s="123" t="str">
        <f>IF(OR($C$6="",$I$6="",$L$6=""),"",IF($B64="","",SUBTOTAL(3,$B$11:B64)))</f>
        <v/>
      </c>
      <c r="B64" s="151" t="str">
        <f>IF(OR($C$6="",$I$6="",$L$6=""),"",IF(HKI!$B64="","",HKI!$B64))</f>
        <v/>
      </c>
      <c r="C64" s="26" t="str">
        <f>IF(OR($C$6="",$I$6="",$L$6=""),"",IF(HKI!$C64="","",HKI!$C64))</f>
        <v/>
      </c>
      <c r="D64" s="27" t="str">
        <f>IF(OR($C$6="",$I$6="",$L$6=""),"",IF(HKI!$D64="","",HKI!$D64))</f>
        <v/>
      </c>
      <c r="E64" s="45"/>
      <c r="F64" s="143"/>
      <c r="G64" s="143"/>
      <c r="H64" s="143"/>
      <c r="I64" s="143"/>
      <c r="J64" s="143"/>
      <c r="K64" s="143"/>
      <c r="L64" s="143"/>
      <c r="M64" s="143"/>
      <c r="N64" s="142" t="str">
        <f t="shared" si="1"/>
        <v/>
      </c>
      <c r="O64" s="160" t="str">
        <f t="shared" si="0"/>
        <v/>
      </c>
      <c r="P64" s="159" t="str">
        <f>IF(OR($B64="",$C$6&lt;&gt;HKI!$L$6,HKI!$N64=""),"",HKI!$N64)</f>
        <v/>
      </c>
      <c r="Q64" s="159" t="str">
        <f t="shared" si="2"/>
        <v/>
      </c>
    </row>
    <row r="65" spans="1:17" ht="18" customHeight="1">
      <c r="A65" s="123" t="str">
        <f>IF(OR($C$6="",$I$6="",$L$6=""),"",IF($B65="","",SUBTOTAL(3,$B$11:B65)))</f>
        <v/>
      </c>
      <c r="B65" s="151" t="str">
        <f>IF(OR($C$6="",$I$6="",$L$6=""),"",IF(HKI!$B65="","",HKI!$B65))</f>
        <v/>
      </c>
      <c r="C65" s="26" t="str">
        <f>IF(OR($C$6="",$I$6="",$L$6=""),"",IF(HKI!$C65="","",HKI!$C65))</f>
        <v/>
      </c>
      <c r="D65" s="27" t="str">
        <f>IF(OR($C$6="",$I$6="",$L$6=""),"",IF(HKI!$D65="","",HKI!$D65))</f>
        <v/>
      </c>
      <c r="E65" s="45"/>
      <c r="F65" s="143"/>
      <c r="G65" s="143"/>
      <c r="H65" s="143"/>
      <c r="I65" s="143"/>
      <c r="J65" s="143"/>
      <c r="K65" s="143"/>
      <c r="L65" s="143"/>
      <c r="M65" s="143"/>
      <c r="N65" s="142" t="str">
        <f t="shared" si="1"/>
        <v/>
      </c>
      <c r="O65" s="160" t="str">
        <f t="shared" si="0"/>
        <v/>
      </c>
      <c r="P65" s="159" t="str">
        <f>IF(OR($B65="",$C$6&lt;&gt;HKI!$L$6,HKI!$N65=""),"",HKI!$N65)</f>
        <v/>
      </c>
      <c r="Q65" s="159" t="str">
        <f t="shared" si="2"/>
        <v/>
      </c>
    </row>
    <row r="66" spans="1:17" ht="18" customHeight="1">
      <c r="A66" s="123" t="str">
        <f>IF(OR($C$6="",$I$6="",$L$6=""),"",IF($B66="","",SUBTOTAL(3,$B$11:B66)))</f>
        <v/>
      </c>
      <c r="B66" s="151" t="str">
        <f>IF(OR($C$6="",$I$6="",$L$6=""),"",IF(HKI!$B66="","",HKI!$B66))</f>
        <v/>
      </c>
      <c r="C66" s="26" t="str">
        <f>IF(OR($C$6="",$I$6="",$L$6=""),"",IF(HKI!$C66="","",HKI!$C66))</f>
        <v/>
      </c>
      <c r="D66" s="27" t="str">
        <f>IF(OR($C$6="",$I$6="",$L$6=""),"",IF(HKI!$D66="","",HKI!$D66))</f>
        <v/>
      </c>
      <c r="E66" s="45"/>
      <c r="F66" s="143"/>
      <c r="G66" s="143"/>
      <c r="H66" s="143"/>
      <c r="I66" s="143"/>
      <c r="J66" s="143"/>
      <c r="K66" s="143"/>
      <c r="L66" s="45"/>
      <c r="M66" s="45"/>
      <c r="N66" s="142" t="str">
        <f t="shared" si="1"/>
        <v/>
      </c>
      <c r="O66" s="160" t="str">
        <f t="shared" si="0"/>
        <v/>
      </c>
      <c r="P66" s="159" t="str">
        <f>IF(OR($B66="",$C$6&lt;&gt;HKI!$L$6,HKI!$N66=""),"",HKI!$N66)</f>
        <v/>
      </c>
      <c r="Q66" s="159" t="str">
        <f t="shared" si="2"/>
        <v/>
      </c>
    </row>
    <row r="67" spans="1:17" ht="18" customHeight="1">
      <c r="A67" s="123" t="str">
        <f>IF(OR($C$6="",$I$6="",$L$6=""),"",IF($B67="","",SUBTOTAL(3,$B$11:B67)))</f>
        <v/>
      </c>
      <c r="B67" s="151" t="str">
        <f>IF(OR($C$6="",$I$6="",$L$6=""),"",IF(HKI!$B67="","",HKI!$B67))</f>
        <v/>
      </c>
      <c r="C67" s="26" t="str">
        <f>IF(OR($C$6="",$I$6="",$L$6=""),"",IF(HKI!$C67="","",HKI!$C67))</f>
        <v/>
      </c>
      <c r="D67" s="27" t="str">
        <f>IF(OR($C$6="",$I$6="",$L$6=""),"",IF(HKI!$D67="","",HKI!$D67))</f>
        <v/>
      </c>
      <c r="E67" s="45"/>
      <c r="F67" s="143"/>
      <c r="G67" s="143"/>
      <c r="H67" s="143"/>
      <c r="I67" s="143"/>
      <c r="J67" s="143"/>
      <c r="K67" s="143"/>
      <c r="L67" s="45"/>
      <c r="M67" s="45"/>
      <c r="N67" s="142" t="str">
        <f t="shared" si="1"/>
        <v/>
      </c>
      <c r="O67" s="160" t="str">
        <f t="shared" si="0"/>
        <v/>
      </c>
      <c r="P67" s="159" t="str">
        <f>IF(OR($B67="",$C$6&lt;&gt;HKI!$L$6,HKI!$N67=""),"",HKI!$N67)</f>
        <v/>
      </c>
      <c r="Q67" s="159" t="str">
        <f t="shared" si="2"/>
        <v/>
      </c>
    </row>
    <row r="68" spans="1:17" ht="18" customHeight="1">
      <c r="A68" s="123" t="str">
        <f>IF(OR($C$6="",$I$6="",$L$6=""),"",IF($B68="","",SUBTOTAL(3,$B$11:B68)))</f>
        <v/>
      </c>
      <c r="B68" s="151" t="str">
        <f>IF(OR($C$6="",$I$6="",$L$6=""),"",IF(HKI!$B68="","",HKI!$B68))</f>
        <v/>
      </c>
      <c r="C68" s="26" t="str">
        <f>IF(OR($C$6="",$I$6="",$L$6=""),"",IF(HKI!$C68="","",HKI!$C68))</f>
        <v/>
      </c>
      <c r="D68" s="27" t="str">
        <f>IF(OR($C$6="",$I$6="",$L$6=""),"",IF(HKI!$D68="","",HKI!$D68))</f>
        <v/>
      </c>
      <c r="E68" s="45"/>
      <c r="F68" s="45"/>
      <c r="G68" s="45"/>
      <c r="H68" s="45"/>
      <c r="I68" s="45"/>
      <c r="J68" s="45"/>
      <c r="K68" s="45"/>
      <c r="L68" s="45"/>
      <c r="M68" s="45"/>
      <c r="N68" s="142" t="str">
        <f t="shared" si="1"/>
        <v/>
      </c>
      <c r="O68" s="160" t="str">
        <f t="shared" si="0"/>
        <v/>
      </c>
      <c r="P68" s="159" t="str">
        <f>IF(OR($B68="",$C$6&lt;&gt;HKI!$L$6,HKI!$N68=""),"",HKI!$N68)</f>
        <v/>
      </c>
      <c r="Q68" s="159" t="str">
        <f t="shared" si="2"/>
        <v/>
      </c>
    </row>
    <row r="69" spans="1:17" ht="18" customHeight="1">
      <c r="A69" s="123" t="str">
        <f>IF(OR($C$6="",$I$6="",$L$6=""),"",IF($B69="","",SUBTOTAL(3,$B$11:B69)))</f>
        <v/>
      </c>
      <c r="B69" s="151" t="str">
        <f>IF(OR($C$6="",$I$6="",$L$6=""),"",IF(HKI!$B69="","",HKI!$B69))</f>
        <v/>
      </c>
      <c r="C69" s="26" t="str">
        <f>IF(OR($C$6="",$I$6="",$L$6=""),"",IF(HKI!$C69="","",HKI!$C69))</f>
        <v/>
      </c>
      <c r="D69" s="27" t="str">
        <f>IF(OR($C$6="",$I$6="",$L$6=""),"",IF(HKI!$D69="","",HKI!$D69))</f>
        <v/>
      </c>
      <c r="E69" s="45"/>
      <c r="F69" s="45"/>
      <c r="G69" s="45"/>
      <c r="H69" s="45"/>
      <c r="I69" s="45"/>
      <c r="J69" s="45"/>
      <c r="K69" s="45"/>
      <c r="L69" s="45"/>
      <c r="M69" s="45"/>
      <c r="N69" s="142" t="str">
        <f t="shared" si="1"/>
        <v/>
      </c>
      <c r="O69" s="160" t="str">
        <f t="shared" si="0"/>
        <v/>
      </c>
      <c r="P69" s="159" t="str">
        <f>IF(OR($B69="",$C$6&lt;&gt;HKI!$L$6,HKI!$N69=""),"",HKI!$N69)</f>
        <v/>
      </c>
      <c r="Q69" s="159" t="str">
        <f t="shared" si="2"/>
        <v/>
      </c>
    </row>
    <row r="70" spans="1:17" ht="18" customHeight="1">
      <c r="A70" s="123" t="str">
        <f>IF(OR($C$6="",$I$6="",$L$6=""),"",IF($B70="","",SUBTOTAL(3,$B$11:B70)))</f>
        <v/>
      </c>
      <c r="B70" s="151" t="str">
        <f>IF(OR($C$6="",$I$6="",$L$6=""),"",IF(HKI!$B70="","",HKI!$B70))</f>
        <v/>
      </c>
      <c r="C70" s="26" t="str">
        <f>IF(OR($C$6="",$I$6="",$L$6=""),"",IF(HKI!$C70="","",HKI!$C70))</f>
        <v/>
      </c>
      <c r="D70" s="27" t="str">
        <f>IF(OR($C$6="",$I$6="",$L$6=""),"",IF(HKI!$D70="","",HKI!$D70))</f>
        <v/>
      </c>
      <c r="E70" s="45"/>
      <c r="F70" s="45"/>
      <c r="G70" s="45"/>
      <c r="H70" s="45"/>
      <c r="I70" s="45"/>
      <c r="J70" s="45"/>
      <c r="K70" s="45"/>
      <c r="L70" s="45"/>
      <c r="M70" s="45"/>
      <c r="N70" s="142" t="str">
        <f t="shared" si="1"/>
        <v/>
      </c>
      <c r="O70" s="160" t="str">
        <f t="shared" si="0"/>
        <v/>
      </c>
      <c r="P70" s="159" t="str">
        <f>IF(OR($B70="",$C$6&lt;&gt;HKI!$L$6,HKI!$N70=""),"",HKI!$N70)</f>
        <v/>
      </c>
      <c r="Q70" s="159" t="str">
        <f t="shared" si="2"/>
        <v/>
      </c>
    </row>
    <row r="71" spans="1:17" ht="18" customHeight="1">
      <c r="A71" s="123" t="str">
        <f>IF(OR($C$6="",$I$6="",$L$6=""),"",IF($B71="","",SUBTOTAL(3,$B$11:B71)))</f>
        <v/>
      </c>
      <c r="B71" s="151" t="str">
        <f>IF(OR($C$6="",$I$6="",$L$6=""),"",IF(HKI!$B71="","",HKI!$B71))</f>
        <v/>
      </c>
      <c r="C71" s="26" t="str">
        <f>IF(OR($C$6="",$I$6="",$L$6=""),"",IF(HKI!$C71="","",HKI!$C71))</f>
        <v/>
      </c>
      <c r="D71" s="27" t="str">
        <f>IF(OR($C$6="",$I$6="",$L$6=""),"",IF(HKI!$D71="","",HKI!$D71))</f>
        <v/>
      </c>
      <c r="E71" s="45"/>
      <c r="F71" s="45"/>
      <c r="G71" s="45"/>
      <c r="H71" s="45"/>
      <c r="I71" s="45"/>
      <c r="J71" s="45"/>
      <c r="K71" s="45"/>
      <c r="L71" s="45"/>
      <c r="M71" s="45"/>
      <c r="N71" s="142" t="str">
        <f t="shared" si="1"/>
        <v/>
      </c>
      <c r="O71" s="160" t="str">
        <f t="shared" si="0"/>
        <v/>
      </c>
      <c r="P71" s="159" t="str">
        <f>IF(OR($B71="",$C$6&lt;&gt;HKI!$L$6,HKI!$N71=""),"",HKI!$N71)</f>
        <v/>
      </c>
      <c r="Q71" s="159" t="str">
        <f t="shared" si="2"/>
        <v/>
      </c>
    </row>
    <row r="72" spans="1:17" ht="18" customHeight="1">
      <c r="A72" s="123" t="str">
        <f>IF(OR($C$6="",$I$6="",$L$6=""),"",IF($B72="","",SUBTOTAL(3,$B$11:B72)))</f>
        <v/>
      </c>
      <c r="B72" s="151" t="str">
        <f>IF(OR($C$6="",$I$6="",$L$6=""),"",IF(HKI!$B72="","",HKI!$B72))</f>
        <v/>
      </c>
      <c r="C72" s="26" t="str">
        <f>IF(OR($C$6="",$I$6="",$L$6=""),"",IF(HKI!$C72="","",HKI!$C72))</f>
        <v/>
      </c>
      <c r="D72" s="27" t="str">
        <f>IF(OR($C$6="",$I$6="",$L$6=""),"",IF(HKI!$D72="","",HKI!$D72))</f>
        <v/>
      </c>
      <c r="E72" s="45"/>
      <c r="F72" s="45"/>
      <c r="G72" s="45"/>
      <c r="H72" s="45"/>
      <c r="I72" s="45"/>
      <c r="J72" s="45"/>
      <c r="K72" s="45"/>
      <c r="L72" s="45"/>
      <c r="M72" s="45"/>
      <c r="N72" s="142" t="str">
        <f t="shared" si="1"/>
        <v/>
      </c>
      <c r="O72" s="160" t="str">
        <f t="shared" si="0"/>
        <v/>
      </c>
      <c r="P72" s="159" t="str">
        <f>IF(OR($B72="",$C$6&lt;&gt;HKI!$L$6,HKI!$N72=""),"",HKI!$N72)</f>
        <v/>
      </c>
      <c r="Q72" s="159" t="str">
        <f t="shared" si="2"/>
        <v/>
      </c>
    </row>
    <row r="73" spans="1:17" ht="18" customHeight="1">
      <c r="A73" s="123" t="str">
        <f>IF(OR($C$6="",$I$6="",$L$6=""),"",IF($B73="","",SUBTOTAL(3,$B$11:B73)))</f>
        <v/>
      </c>
      <c r="B73" s="151" t="str">
        <f>IF(OR($C$6="",$I$6="",$L$6=""),"",IF(HKI!$B73="","",HKI!$B73))</f>
        <v/>
      </c>
      <c r="C73" s="26" t="str">
        <f>IF(OR($C$6="",$I$6="",$L$6=""),"",IF(HKI!$C73="","",HKI!$C73))</f>
        <v/>
      </c>
      <c r="D73" s="27" t="str">
        <f>IF(OR($C$6="",$I$6="",$L$6=""),"",IF(HKI!$D73="","",HKI!$D73))</f>
        <v/>
      </c>
      <c r="E73" s="45"/>
      <c r="F73" s="45"/>
      <c r="G73" s="45"/>
      <c r="H73" s="45"/>
      <c r="I73" s="45"/>
      <c r="J73" s="45"/>
      <c r="K73" s="45"/>
      <c r="L73" s="45"/>
      <c r="M73" s="45"/>
      <c r="N73" s="142" t="str">
        <f t="shared" si="1"/>
        <v/>
      </c>
      <c r="O73" s="160" t="str">
        <f t="shared" si="0"/>
        <v/>
      </c>
      <c r="P73" s="159" t="str">
        <f>IF(OR($B73="",$C$6&lt;&gt;HKI!$L$6,HKI!$N73=""),"",HKI!$N73)</f>
        <v/>
      </c>
      <c r="Q73" s="159" t="str">
        <f t="shared" si="2"/>
        <v/>
      </c>
    </row>
    <row r="74" spans="1:17" ht="18" customHeight="1">
      <c r="A74" s="123" t="str">
        <f>IF(OR($C$6="",$I$6="",$L$6=""),"",IF($B74="","",SUBTOTAL(3,$B$11:B74)))</f>
        <v/>
      </c>
      <c r="B74" s="151" t="str">
        <f>IF(OR($C$6="",$I$6="",$L$6=""),"",IF(HKI!$B74="","",HKI!$B74))</f>
        <v/>
      </c>
      <c r="C74" s="26" t="str">
        <f>IF(OR($C$6="",$I$6="",$L$6=""),"",IF(HKI!$C74="","",HKI!$C74))</f>
        <v/>
      </c>
      <c r="D74" s="27" t="str">
        <f>IF(OR($C$6="",$I$6="",$L$6=""),"",IF(HKI!$D74="","",HKI!$D74))</f>
        <v/>
      </c>
      <c r="E74" s="45"/>
      <c r="F74" s="45"/>
      <c r="G74" s="45"/>
      <c r="H74" s="45"/>
      <c r="I74" s="45"/>
      <c r="J74" s="45"/>
      <c r="K74" s="45"/>
      <c r="L74" s="45"/>
      <c r="M74" s="45"/>
      <c r="N74" s="142" t="str">
        <f t="shared" si="1"/>
        <v/>
      </c>
      <c r="O74" s="160" t="str">
        <f t="shared" si="0"/>
        <v/>
      </c>
      <c r="P74" s="159" t="str">
        <f>IF(OR($B74="",$C$6&lt;&gt;HKI!$L$6,HKI!$N74=""),"",HKI!$N74)</f>
        <v/>
      </c>
      <c r="Q74" s="159" t="str">
        <f t="shared" si="2"/>
        <v/>
      </c>
    </row>
    <row r="75" spans="1:17" ht="18" customHeight="1">
      <c r="A75" s="123" t="str">
        <f>IF(OR($C$6="",$I$6="",$L$6=""),"",IF($B75="","",SUBTOTAL(3,$B$11:B75)))</f>
        <v/>
      </c>
      <c r="B75" s="151" t="str">
        <f>IF(OR($C$6="",$I$6="",$L$6=""),"",IF(HKI!$B75="","",HKI!$B75))</f>
        <v/>
      </c>
      <c r="C75" s="26" t="str">
        <f>IF(OR($C$6="",$I$6="",$L$6=""),"",IF(HKI!$C75="","",HKI!$C75))</f>
        <v/>
      </c>
      <c r="D75" s="27" t="str">
        <f>IF(OR($C$6="",$I$6="",$L$6=""),"",IF(HKI!$D75="","",HKI!$D75))</f>
        <v/>
      </c>
      <c r="E75" s="45"/>
      <c r="F75" s="45"/>
      <c r="G75" s="45"/>
      <c r="H75" s="45"/>
      <c r="I75" s="45"/>
      <c r="J75" s="45"/>
      <c r="K75" s="45"/>
      <c r="L75" s="45"/>
      <c r="M75" s="45"/>
      <c r="N75" s="142" t="str">
        <f t="shared" si="1"/>
        <v/>
      </c>
      <c r="O75" s="160" t="str">
        <f t="shared" ref="O75:O80" si="3">IF($B75="","",IF($N75="","KXL",IF($N75&lt;4,"Kém",IF($N75&lt;5.5,"TB Yếu",IF($N75&lt;7,"T.Bình",IF($N75&lt;8.5,"Khá","Giỏi"))))))</f>
        <v/>
      </c>
      <c r="P75" s="159" t="str">
        <f>IF(OR($B75="",$C$6&lt;&gt;HKI!$L$6,HKI!$N75=""),"",HKI!$N75)</f>
        <v/>
      </c>
      <c r="Q75" s="159" t="str">
        <f t="shared" si="2"/>
        <v/>
      </c>
    </row>
    <row r="76" spans="1:17" ht="18" customHeight="1">
      <c r="A76" s="123" t="str">
        <f>IF(OR($C$6="",$I$6="",$L$6=""),"",IF($B76="","",SUBTOTAL(3,$B$11:B76)))</f>
        <v/>
      </c>
      <c r="B76" s="151" t="str">
        <f>IF(OR($C$6="",$I$6="",$L$6=""),"",IF(HKI!$B76="","",HKI!$B76))</f>
        <v/>
      </c>
      <c r="C76" s="26" t="str">
        <f>IF(OR($C$6="",$I$6="",$L$6=""),"",IF(HKI!$C76="","",HKI!$C76))</f>
        <v/>
      </c>
      <c r="D76" s="27" t="str">
        <f>IF(OR($C$6="",$I$6="",$L$6=""),"",IF(HKI!$D76="","",HKI!$D76))</f>
        <v/>
      </c>
      <c r="E76" s="45"/>
      <c r="F76" s="45"/>
      <c r="G76" s="45"/>
      <c r="H76" s="45"/>
      <c r="I76" s="45"/>
      <c r="J76" s="45"/>
      <c r="K76" s="45"/>
      <c r="L76" s="45"/>
      <c r="M76" s="45"/>
      <c r="N76" s="142" t="str">
        <f>IF(B76="","",IF(ISNUMBER(E76)=TRUE,E76,IF(COUNT(F76:M76)=0,"",IF(COUNT(F76:K76)=0,ROUND(0.3*L76+0.5*M76,1),ROUND(0.2*(SUM(F76:K76)/COUNT(F76:K76))+0.3*L76+0.5*M76,1)))))</f>
        <v/>
      </c>
      <c r="O76" s="160" t="str">
        <f t="shared" si="3"/>
        <v/>
      </c>
      <c r="P76" s="159" t="str">
        <f>IF(OR($B76="",$C$6&lt;&gt;HKI!$L$6,HKI!$N76=""),"",HKI!$N76)</f>
        <v/>
      </c>
      <c r="Q76" s="159" t="str">
        <f>IF(OR(ISNUMBER($E76)=TRUE,$B76="",$P76=""),"",IF(COUNT($F76:$M76)=0,"",IF($M76&gt;=$P76,$N76,IF(COUNT($F76:$K76)=0,ROUND(0.3*$L76+0.5*$P76,1),ROUND(0.2*(SUM($F76:$K76)/COUNT($F76:$K76))+0.3*$L76+0.5*$P76,1)))))</f>
        <v/>
      </c>
    </row>
    <row r="77" spans="1:17" ht="18" customHeight="1">
      <c r="A77" s="123" t="str">
        <f>IF(OR($C$6="",$I$6="",$L$6=""),"",IF($B77="","",SUBTOTAL(3,$B$11:B77)))</f>
        <v/>
      </c>
      <c r="B77" s="151" t="str">
        <f>IF(OR($C$6="",$I$6="",$L$6=""),"",IF(HKI!$B77="","",HKI!$B77))</f>
        <v/>
      </c>
      <c r="C77" s="26" t="str">
        <f>IF(OR($C$6="",$I$6="",$L$6=""),"",IF(HKI!$C77="","",HKI!$C77))</f>
        <v/>
      </c>
      <c r="D77" s="27" t="str">
        <f>IF(OR($C$6="",$I$6="",$L$6=""),"",IF(HKI!$D77="","",HKI!$D77))</f>
        <v/>
      </c>
      <c r="E77" s="45"/>
      <c r="F77" s="45"/>
      <c r="G77" s="45"/>
      <c r="H77" s="45"/>
      <c r="I77" s="45"/>
      <c r="J77" s="45"/>
      <c r="K77" s="45"/>
      <c r="L77" s="45"/>
      <c r="M77" s="45"/>
      <c r="N77" s="142" t="str">
        <f>IF(B77="","",IF(ISNUMBER(E77)=TRUE,E77,IF(COUNT(F77:M77)=0,"",IF(COUNT(F77:K77)=0,ROUND(0.3*L77+0.5*M77,1),ROUND(0.2*(SUM(F77:K77)/COUNT(F77:K77))+0.3*L77+0.5*M77,1)))))</f>
        <v/>
      </c>
      <c r="O77" s="160" t="str">
        <f t="shared" si="3"/>
        <v/>
      </c>
      <c r="P77" s="159" t="str">
        <f>IF(OR($B77="",$C$6&lt;&gt;HKI!$L$6,HKI!$N77=""),"",HKI!$N77)</f>
        <v/>
      </c>
      <c r="Q77" s="159" t="str">
        <f>IF(OR(ISNUMBER($E77)=TRUE,$B77="",$P77=""),"",IF(COUNT($F77:$M77)=0,"",IF($M77&gt;=$P77,$N77,IF(COUNT($F77:$K77)=0,ROUND(0.3*$L77+0.5*$P77,1),ROUND(0.2*(SUM($F77:$K77)/COUNT($F77:$K77))+0.3*$L77+0.5*$P77,1)))))</f>
        <v/>
      </c>
    </row>
    <row r="78" spans="1:17" ht="18" customHeight="1">
      <c r="A78" s="123" t="str">
        <f>IF(OR($C$6="",$I$6="",$L$6=""),"",IF($B78="","",SUBTOTAL(3,$B$11:B78)))</f>
        <v/>
      </c>
      <c r="B78" s="151" t="str">
        <f>IF(OR($C$6="",$I$6="",$L$6=""),"",IF(HKI!$B78="","",HKI!$B78))</f>
        <v/>
      </c>
      <c r="C78" s="26" t="str">
        <f>IF(OR($C$6="",$I$6="",$L$6=""),"",IF(HKI!$C78="","",HKI!$C78))</f>
        <v/>
      </c>
      <c r="D78" s="27" t="str">
        <f>IF(OR($C$6="",$I$6="",$L$6=""),"",IF(HKI!$D78="","",HKI!$D78))</f>
        <v/>
      </c>
      <c r="E78" s="45"/>
      <c r="F78" s="45"/>
      <c r="G78" s="45"/>
      <c r="H78" s="45"/>
      <c r="I78" s="45"/>
      <c r="J78" s="45"/>
      <c r="K78" s="45"/>
      <c r="L78" s="45"/>
      <c r="M78" s="45"/>
      <c r="N78" s="142" t="str">
        <f>IF(B78="","",IF(ISNUMBER(E78)=TRUE,E78,IF(COUNT(F78:M78)=0,"",IF(COUNT(F78:K78)=0,ROUND(0.3*L78+0.5*M78,1),ROUND(0.2*(SUM(F78:K78)/COUNT(F78:K78))+0.3*L78+0.5*M78,1)))))</f>
        <v/>
      </c>
      <c r="O78" s="160" t="str">
        <f t="shared" si="3"/>
        <v/>
      </c>
      <c r="P78" s="159" t="str">
        <f>IF(OR($B78="",$C$6&lt;&gt;HKI!$L$6,HKI!$N78=""),"",HKI!$N78)</f>
        <v/>
      </c>
      <c r="Q78" s="159" t="str">
        <f>IF(OR(ISNUMBER($E78)=TRUE,$B78="",$P78=""),"",IF(COUNT($F78:$M78)=0,"",IF($M78&gt;=$P78,$N78,IF(COUNT($F78:$K78)=0,ROUND(0.3*$L78+0.5*$P78,1),ROUND(0.2*(SUM($F78:$K78)/COUNT($F78:$K78))+0.3*$L78+0.5*$P78,1)))))</f>
        <v/>
      </c>
    </row>
    <row r="79" spans="1:17" ht="18" customHeight="1">
      <c r="A79" s="123" t="str">
        <f>IF(OR($C$6="",$I$6="",$L$6=""),"",IF($B79="","",SUBTOTAL(3,$B$11:B79)))</f>
        <v/>
      </c>
      <c r="B79" s="151" t="str">
        <f>IF(OR($C$6="",$I$6="",$L$6=""),"",IF(HKI!$B79="","",HKI!$B79))</f>
        <v/>
      </c>
      <c r="C79" s="26" t="str">
        <f>IF(OR($C$6="",$I$6="",$L$6=""),"",IF(HKI!$C79="","",HKI!$C79))</f>
        <v/>
      </c>
      <c r="D79" s="27" t="str">
        <f>IF(OR($C$6="",$I$6="",$L$6=""),"",IF(HKI!$D79="","",HKI!$D79))</f>
        <v/>
      </c>
      <c r="E79" s="45"/>
      <c r="F79" s="45"/>
      <c r="G79" s="45"/>
      <c r="H79" s="45"/>
      <c r="I79" s="45"/>
      <c r="J79" s="45"/>
      <c r="K79" s="45"/>
      <c r="L79" s="45"/>
      <c r="M79" s="45"/>
      <c r="N79" s="142" t="str">
        <f>IF(B79="","",IF(ISNUMBER(E79)=TRUE,E79,IF(COUNT(F79:M79)=0,"",IF(COUNT(F79:K79)=0,ROUND(0.3*L79+0.5*M79,1),ROUND(0.2*(SUM(F79:K79)/COUNT(F79:K79))+0.3*L79+0.5*M79,1)))))</f>
        <v/>
      </c>
      <c r="O79" s="160" t="str">
        <f t="shared" si="3"/>
        <v/>
      </c>
      <c r="P79" s="159" t="str">
        <f>IF(OR($B79="",$C$6&lt;&gt;HKI!$L$6,HKI!$N79=""),"",HKI!$N79)</f>
        <v/>
      </c>
      <c r="Q79" s="159" t="str">
        <f>IF(OR(ISNUMBER($E79)=TRUE,$B79="",$P79=""),"",IF(COUNT($F79:$M79)=0,"",IF($M79&gt;=$P79,$N79,IF(COUNT($F79:$K79)=0,ROUND(0.3*$L79+0.5*$P79,1),ROUND(0.2*(SUM($F79:$K79)/COUNT($F79:$K79))+0.3*$L79+0.5*$P79,1)))))</f>
        <v/>
      </c>
    </row>
    <row r="80" spans="1:17" ht="18" customHeight="1">
      <c r="A80" s="123" t="str">
        <f>IF(OR($C$6="",$I$6="",$L$6=""),"",IF($B80="","",SUBTOTAL(3,$B$11:B80)))</f>
        <v/>
      </c>
      <c r="B80" s="151" t="str">
        <f>IF(OR($C$6="",$I$6="",$L$6=""),"",IF(HKI!$B80="","",HKI!$B80))</f>
        <v/>
      </c>
      <c r="C80" s="26" t="str">
        <f>IF(OR($C$6="",$I$6="",$L$6=""),"",IF(HKI!$C80="","",HKI!$C80))</f>
        <v/>
      </c>
      <c r="D80" s="27" t="str">
        <f>IF(OR($C$6="",$I$6="",$L$6=""),"",IF(HKI!$D80="","",HKI!$D80))</f>
        <v/>
      </c>
      <c r="E80" s="45"/>
      <c r="F80" s="45"/>
      <c r="G80" s="45"/>
      <c r="H80" s="45"/>
      <c r="I80" s="45"/>
      <c r="J80" s="45"/>
      <c r="K80" s="45"/>
      <c r="L80" s="45"/>
      <c r="M80" s="45"/>
      <c r="N80" s="142" t="str">
        <f>IF(B80="","",IF(ISNUMBER(E80)=TRUE,E80,IF(COUNT(F80:M80)=0,"",IF(COUNT(F80:K80)=0,ROUND(0.3*L80+0.5*M80,1),ROUND(0.2*(SUM(F80:K80)/COUNT(F80:K80))+0.3*L80+0.5*M80,1)))))</f>
        <v/>
      </c>
      <c r="O80" s="160" t="str">
        <f t="shared" si="3"/>
        <v/>
      </c>
      <c r="P80" s="159" t="str">
        <f>IF(OR($B80="",$C$6&lt;&gt;HKI!$L$6,HKI!$N80=""),"",HKI!$N80)</f>
        <v/>
      </c>
      <c r="Q80" s="159" t="str">
        <f>IF(OR(ISNUMBER($E80)=TRUE,$B80="",$P80=""),"",IF(COUNT($F80:$M80)=0,"",IF($M80&gt;=$P80,$N80,IF(COUNT($F80:$K80)=0,ROUND(0.3*$L80+0.5*$P80,1),ROUND(0.2*(SUM($F80:$K80)/COUNT($F80:$K80))+0.3*$L80+0.5*$P80,1)))))</f>
        <v/>
      </c>
    </row>
    <row r="81" spans="1:17" s="146" customFormat="1" ht="16.5" customHeight="1">
      <c r="A81" s="653" t="s">
        <v>1459</v>
      </c>
      <c r="B81" s="653"/>
      <c r="C81" s="653"/>
      <c r="D81" s="653"/>
      <c r="E81" s="653"/>
      <c r="F81" s="653"/>
      <c r="G81" s="653"/>
      <c r="H81" s="653"/>
      <c r="I81" s="653"/>
      <c r="J81" s="653"/>
      <c r="K81" s="653"/>
      <c r="L81" s="653"/>
      <c r="M81" s="653"/>
      <c r="N81" s="653"/>
      <c r="O81" s="163"/>
      <c r="P81" s="56"/>
      <c r="Q81" s="56"/>
    </row>
    <row r="82" spans="1:17" s="146" customFormat="1" ht="14.25" customHeight="1">
      <c r="A82" s="136"/>
      <c r="B82" s="651" t="str">
        <f>"Tổng danh sách có"</f>
        <v>Tổng danh sách có</v>
      </c>
      <c r="C82" s="651"/>
      <c r="D82" s="651"/>
      <c r="E82" s="651"/>
      <c r="F82" s="154" t="str">
        <f>": "&amp;MAX($A$11:$A$80)&amp;" SV"</f>
        <v>: 50 SV</v>
      </c>
      <c r="K82" s="147"/>
      <c r="L82" s="147"/>
      <c r="M82" s="147"/>
      <c r="N82" s="147"/>
      <c r="O82" s="147"/>
      <c r="P82" s="56"/>
      <c r="Q82" s="56"/>
    </row>
    <row r="83" spans="1:17" s="146" customFormat="1">
      <c r="A83" s="148"/>
      <c r="B83" s="643" t="str">
        <f>"Tổng số SV có điểm Giỏi từ 8,5 đ đến 10 đ"</f>
        <v>Tổng số SV có điểm Giỏi từ 8,5 đ đến 10 đ</v>
      </c>
      <c r="C83" s="643"/>
      <c r="D83" s="643"/>
      <c r="E83" s="643"/>
      <c r="F83" s="153" t="str">
        <f>": "&amp;COUNTIF($O$11:$O$80,"Giỏi")&amp;" SV"</f>
        <v>: 2 SV</v>
      </c>
      <c r="H83" s="153" t="str">
        <f>IF($B11="","","("&amp;ROUND(COUNTIF($O$11:$O$80,"Giỏi")*100/MAX($A$11:$A$80),2)&amp;"%" &amp;")")</f>
        <v>(4%)</v>
      </c>
      <c r="I83" s="153"/>
      <c r="J83" s="153"/>
      <c r="K83" s="645" t="str">
        <f>IF($B11="","","Tổng số SV có điểm &gt;= 4 đ : "&amp;COUNTIF($N11:$N80,"&gt;=4")&amp;" SV"&amp;" ("&amp;ROUND(COUNTIF($N11:$N80,"&gt;=4")*100/MAX($A$11:$A$80),2)&amp;"%" &amp;")")</f>
        <v>Tổng số SV có điểm &gt;= 4 đ : 45 SV (90%)</v>
      </c>
      <c r="L83" s="645"/>
      <c r="M83" s="645"/>
      <c r="N83" s="645"/>
      <c r="O83" s="127"/>
      <c r="P83" s="56"/>
      <c r="Q83" s="56"/>
    </row>
    <row r="84" spans="1:17" s="146" customFormat="1">
      <c r="A84" s="148"/>
      <c r="B84" s="643" t="str">
        <f>"Tổng số SV có điểm Khá từ 7 đ đến &lt;8,5 đ"</f>
        <v>Tổng số SV có điểm Khá từ 7 đ đến &lt;8,5 đ</v>
      </c>
      <c r="C84" s="643"/>
      <c r="D84" s="643"/>
      <c r="E84" s="643"/>
      <c r="F84" s="153" t="str">
        <f>": "&amp;COUNTIF($O$11:$O$80,"Khá")&amp;" SV"</f>
        <v>: 21 SV</v>
      </c>
      <c r="H84" s="153" t="str">
        <f>IF($B11="","","("&amp;ROUND(COUNTIF($O$11:$O$80,"Khá")*100/MAX($A$11:$A$80),2)&amp;"%" &amp;")")</f>
        <v>(42%)</v>
      </c>
      <c r="I84" s="153"/>
      <c r="J84" s="153"/>
      <c r="K84" s="645"/>
      <c r="L84" s="645"/>
      <c r="M84" s="645"/>
      <c r="N84" s="645"/>
      <c r="O84" s="127"/>
      <c r="P84" s="56"/>
      <c r="Q84" s="56"/>
    </row>
    <row r="85" spans="1:17" s="146" customFormat="1">
      <c r="A85" s="148"/>
      <c r="B85" s="643" t="str">
        <f>"Tổng số SV có điểm Trung bình từ 5,5 đ đến &lt;7 đ"</f>
        <v>Tổng số SV có điểm Trung bình từ 5,5 đ đến &lt;7 đ</v>
      </c>
      <c r="C85" s="643"/>
      <c r="D85" s="643"/>
      <c r="E85" s="643"/>
      <c r="F85" s="153" t="str">
        <f>": "&amp;COUNTIF($O$11:$O$80,"T.Bình")&amp;" SV"</f>
        <v>: 14 SV</v>
      </c>
      <c r="H85" s="153" t="str">
        <f>IF($B11="","","("&amp;ROUND(COUNTIF($O$11:$O$80,"T.Bình")*100/MAX($A$11:$A$80),2)&amp;"%" &amp;")")</f>
        <v>(28%)</v>
      </c>
      <c r="I85" s="153"/>
      <c r="J85" s="153"/>
      <c r="K85" s="645"/>
      <c r="L85" s="645"/>
      <c r="M85" s="645"/>
      <c r="N85" s="645"/>
      <c r="O85" s="127"/>
      <c r="P85" s="56"/>
      <c r="Q85" s="56"/>
    </row>
    <row r="86" spans="1:17" s="146" customFormat="1" ht="12.75" customHeight="1">
      <c r="A86" s="148"/>
      <c r="B86" s="643" t="str">
        <f>"Tổng số SV có điểm Trung bình yếu từ 4 đ đến &lt;5,5 đ"</f>
        <v>Tổng số SV có điểm Trung bình yếu từ 4 đ đến &lt;5,5 đ</v>
      </c>
      <c r="C86" s="643"/>
      <c r="D86" s="643"/>
      <c r="E86" s="643"/>
      <c r="F86" s="153" t="str">
        <f>": "&amp;COUNTIF($O$11:$O$80,"TB Yếu")&amp;" SV"</f>
        <v>: 8 SV</v>
      </c>
      <c r="H86" s="153" t="str">
        <f>IF($B11="","","("&amp;ROUND(COUNTIF($O$11:$O$80,"TB Yếu")*100/MAX($A$11:$A$80),2)&amp;"%" &amp;")")</f>
        <v>(16%)</v>
      </c>
      <c r="I86" s="153"/>
      <c r="J86" s="153"/>
      <c r="K86" s="644" t="str">
        <f>IF($B11="","","Tổng số SV có điểm &lt; 4 đ : "&amp;COUNTIF($N11:$N80,"&lt;4")&amp;" SV"&amp;" ("&amp;ROUND(COUNTIF($N11:$N80,"&lt;4")*100/MAX($A$11:$A$80),2)&amp;"%" &amp;")")</f>
        <v>Tổng số SV có điểm &lt; 4 đ : 5 SV (10%)</v>
      </c>
      <c r="L86" s="644"/>
      <c r="M86" s="644"/>
      <c r="N86" s="644"/>
      <c r="O86" s="161"/>
      <c r="P86" s="56"/>
      <c r="Q86" s="56"/>
    </row>
    <row r="87" spans="1:17" s="146" customFormat="1">
      <c r="A87" s="148"/>
      <c r="B87" s="643" t="str">
        <f>"Tổng số SV có điểm kém &lt;4 đ"</f>
        <v>Tổng số SV có điểm kém &lt;4 đ</v>
      </c>
      <c r="C87" s="643"/>
      <c r="D87" s="643"/>
      <c r="E87" s="643"/>
      <c r="F87" s="153" t="str">
        <f>": "&amp;COUNTIF($O$11:$O$80,"Kém")&amp;" SV"</f>
        <v>: 5 SV</v>
      </c>
      <c r="H87" s="153" t="str">
        <f>IF($B11="","","("&amp;ROUND(COUNTIF($O$11:$O$80,"Kém")*100/MAX($A$11:$A$80),2)&amp;"%"&amp;")")</f>
        <v>(10%)</v>
      </c>
      <c r="I87" s="153"/>
      <c r="J87" s="153"/>
      <c r="K87" s="644"/>
      <c r="L87" s="644"/>
      <c r="M87" s="644"/>
      <c r="N87" s="644"/>
      <c r="O87" s="161"/>
      <c r="P87" s="56"/>
      <c r="Q87" s="56"/>
    </row>
    <row r="88" spans="1:17" s="146" customFormat="1" ht="12.75" customHeight="1">
      <c r="A88" s="148"/>
      <c r="B88" s="643" t="str">
        <f>"Tổng số SV không xếp loại vì chưa đủ điều kiện"</f>
        <v>Tổng số SV không xếp loại vì chưa đủ điều kiện</v>
      </c>
      <c r="C88" s="643"/>
      <c r="D88" s="643"/>
      <c r="E88" s="643"/>
      <c r="F88" s="153" t="str">
        <f>": "&amp;COUNTIF($O$11:$O$80,"KXL")&amp;" SV"</f>
        <v>: 0 SV</v>
      </c>
      <c r="H88" s="153" t="str">
        <f>IF($B11="","","("&amp;ROUND(COUNTIF($O$11:$O$80,"KXL")*100/MAX($A$11:$A$80),2)&amp;"%"&amp;")")</f>
        <v>(0%)</v>
      </c>
      <c r="I88" s="153"/>
      <c r="J88" s="153"/>
      <c r="K88" s="644"/>
      <c r="L88" s="644"/>
      <c r="M88" s="644"/>
      <c r="N88" s="644"/>
      <c r="O88" s="161"/>
      <c r="P88" s="56"/>
      <c r="Q88" s="56"/>
    </row>
    <row r="89" spans="1:17" ht="15.75">
      <c r="B89" s="149"/>
      <c r="C89" s="149"/>
      <c r="D89" s="149"/>
      <c r="E89" s="149"/>
      <c r="F89" s="149"/>
      <c r="G89" s="149"/>
      <c r="H89" s="149"/>
      <c r="I89" s="149"/>
      <c r="J89" s="149"/>
      <c r="K89" s="149"/>
      <c r="L89" s="149"/>
      <c r="M89" s="149"/>
      <c r="N89" s="149"/>
    </row>
    <row r="90" spans="1:17" ht="15.75" customHeight="1">
      <c r="A90" s="636" t="s">
        <v>190</v>
      </c>
      <c r="B90" s="636"/>
      <c r="C90" s="636"/>
      <c r="E90" s="162" t="s">
        <v>256</v>
      </c>
      <c r="F90" s="162"/>
      <c r="G90" s="162"/>
      <c r="H90" s="138"/>
      <c r="I90" s="138"/>
      <c r="J90" s="636" t="s">
        <v>257</v>
      </c>
      <c r="K90" s="636"/>
      <c r="L90" s="636"/>
      <c r="M90" s="636"/>
      <c r="N90" s="636"/>
      <c r="O90" s="636"/>
    </row>
    <row r="91" spans="1:17">
      <c r="A91" s="642"/>
      <c r="B91" s="642"/>
      <c r="C91" s="642"/>
      <c r="D91" s="150"/>
      <c r="E91" s="150"/>
      <c r="F91" s="150"/>
      <c r="G91" s="150"/>
      <c r="H91" s="150"/>
      <c r="I91" s="150"/>
      <c r="J91" s="150"/>
      <c r="K91" s="150"/>
      <c r="L91" s="654"/>
      <c r="M91" s="654"/>
      <c r="N91" s="654"/>
      <c r="O91" s="654"/>
    </row>
  </sheetData>
  <sheetProtection sheet="1" formatCells="0" formatColumns="0" formatRows="0" autoFilter="0"/>
  <dataConsolidate/>
  <mergeCells count="45">
    <mergeCell ref="A91:C91"/>
    <mergeCell ref="L91:O91"/>
    <mergeCell ref="K86:N88"/>
    <mergeCell ref="A90:C90"/>
    <mergeCell ref="B88:E88"/>
    <mergeCell ref="B86:E86"/>
    <mergeCell ref="B83:E83"/>
    <mergeCell ref="J90:O90"/>
    <mergeCell ref="B87:E87"/>
    <mergeCell ref="K83:N85"/>
    <mergeCell ref="A81:N81"/>
    <mergeCell ref="B84:E84"/>
    <mergeCell ref="B85:E85"/>
    <mergeCell ref="B82:E82"/>
    <mergeCell ref="Q8:Q10"/>
    <mergeCell ref="K8:K9"/>
    <mergeCell ref="L8:L9"/>
    <mergeCell ref="O8:O10"/>
    <mergeCell ref="F10:K10"/>
    <mergeCell ref="I8:I9"/>
    <mergeCell ref="G8:G9"/>
    <mergeCell ref="H8:H9"/>
    <mergeCell ref="P8:P9"/>
    <mergeCell ref="J8:J9"/>
    <mergeCell ref="F8:F9"/>
    <mergeCell ref="A4:N4"/>
    <mergeCell ref="A5:O5"/>
    <mergeCell ref="M8:M9"/>
    <mergeCell ref="N8:N10"/>
    <mergeCell ref="J7:L7"/>
    <mergeCell ref="D7:E7"/>
    <mergeCell ref="A6:B6"/>
    <mergeCell ref="G6:H6"/>
    <mergeCell ref="C6:F6"/>
    <mergeCell ref="B8:B10"/>
    <mergeCell ref="L6:M6"/>
    <mergeCell ref="A8:A10"/>
    <mergeCell ref="H7:I7"/>
    <mergeCell ref="C8:D10"/>
    <mergeCell ref="E8:E10"/>
    <mergeCell ref="H1:N1"/>
    <mergeCell ref="H2:N2"/>
    <mergeCell ref="A3:F3"/>
    <mergeCell ref="A2:F2"/>
    <mergeCell ref="A1:F1"/>
  </mergeCells>
  <phoneticPr fontId="11" type="noConversion"/>
  <conditionalFormatting sqref="N11:N80">
    <cfRule type="cellIs" dxfId="9" priority="1" stopIfTrue="1" operator="lessThan">
      <formula>4</formula>
    </cfRule>
  </conditionalFormatting>
  <dataValidations count="3">
    <dataValidation type="decimal" allowBlank="1" showInputMessage="1" showErrorMessage="1" errorTitle="Nhap sai" error="Hãy nhập lại_x000a_0 ≤ Điểm ≤ 10" sqref="M11:M80">
      <formula1>0</formula1>
      <formula2>10</formula2>
    </dataValidation>
    <dataValidation type="whole" allowBlank="1" showInputMessage="1" showErrorMessage="1" errorTitle="Nhap sai" error="Hãy nhập lại_x000a_0 ≤ Điểm ≤ 10" sqref="K56:L76 F11:L55 F56:I76 F77:L80">
      <formula1>0</formula1>
      <formula2>10</formula2>
    </dataValidation>
    <dataValidation type="decimal" allowBlank="1" showInputMessage="1" showErrorMessage="1" sqref="J56:J76">
      <formula1>0</formula1>
      <formula2>10</formula2>
    </dataValidation>
  </dataValidations>
  <printOptions horizontalCentered="1"/>
  <pageMargins left="0.5" right="0" top="0.25" bottom="0.32" header="0.25" footer="0.25"/>
  <pageSetup paperSize="9" scale="85" orientation="portrait" horizontalDpi="1200" verticalDpi="12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Q90"/>
  <sheetViews>
    <sheetView view="pageBreakPreview" topLeftCell="A43" zoomScale="130" zoomScaleSheetLayoutView="130" workbookViewId="0">
      <selection activeCell="A55" sqref="A55:IV55"/>
    </sheetView>
  </sheetViews>
  <sheetFormatPr defaultRowHeight="12.75"/>
  <cols>
    <col min="1" max="1" width="3.85546875" style="136" bestFit="1" customWidth="1"/>
    <col min="2" max="2" width="10.7109375" style="136" customWidth="1"/>
    <col min="3" max="3" width="18.85546875" style="136" bestFit="1" customWidth="1"/>
    <col min="4" max="4" width="7.5703125" style="136" bestFit="1" customWidth="1"/>
    <col min="5" max="5" width="6" style="136" bestFit="1" customWidth="1"/>
    <col min="6" max="12" width="6.7109375" style="136" customWidth="1"/>
    <col min="13" max="13" width="8.7109375" style="136" customWidth="1"/>
    <col min="14" max="14" width="6.7109375" style="136" customWidth="1"/>
    <col min="15" max="15" width="8.5703125" style="136" hidden="1" customWidth="1"/>
    <col min="16" max="17" width="6.28515625" style="136" hidden="1" customWidth="1"/>
    <col min="18" max="16384" width="9.140625" style="136"/>
  </cols>
  <sheetData>
    <row r="1" spans="1:17" ht="15.75">
      <c r="A1" s="633" t="s">
        <v>2695</v>
      </c>
      <c r="B1" s="633"/>
      <c r="C1" s="633"/>
      <c r="D1" s="633"/>
      <c r="E1" s="633"/>
      <c r="F1" s="633"/>
      <c r="G1" s="140"/>
      <c r="H1" s="632" t="s">
        <v>249</v>
      </c>
      <c r="I1" s="632"/>
      <c r="J1" s="632"/>
      <c r="K1" s="632"/>
      <c r="L1" s="632"/>
      <c r="M1" s="632"/>
      <c r="N1" s="632"/>
      <c r="O1" s="155"/>
    </row>
    <row r="2" spans="1:17" ht="29.25" customHeight="1">
      <c r="A2" s="631" t="s">
        <v>2687</v>
      </c>
      <c r="B2" s="632"/>
      <c r="C2" s="632"/>
      <c r="D2" s="632"/>
      <c r="E2" s="632"/>
      <c r="F2" s="632"/>
      <c r="G2" s="157"/>
      <c r="H2" s="638" t="s">
        <v>250</v>
      </c>
      <c r="I2" s="638"/>
      <c r="J2" s="638"/>
      <c r="K2" s="638"/>
      <c r="L2" s="638"/>
      <c r="M2" s="638"/>
      <c r="N2" s="638"/>
      <c r="O2" s="155"/>
    </row>
    <row r="3" spans="1:17" ht="19.5" customHeight="1">
      <c r="A3" s="633"/>
      <c r="B3" s="633"/>
      <c r="C3" s="633"/>
      <c r="D3" s="633"/>
      <c r="E3" s="633"/>
      <c r="F3" s="156"/>
      <c r="G3" s="156"/>
      <c r="I3" s="166"/>
      <c r="J3" s="156"/>
      <c r="K3" s="156"/>
      <c r="L3" s="156"/>
      <c r="M3" s="137"/>
      <c r="N3" s="147"/>
      <c r="O3" s="147"/>
      <c r="P3" s="147"/>
    </row>
    <row r="4" spans="1:17" ht="21.75" customHeight="1">
      <c r="A4" s="635" t="s">
        <v>251</v>
      </c>
      <c r="B4" s="635"/>
      <c r="C4" s="635"/>
      <c r="D4" s="635"/>
      <c r="E4" s="635"/>
      <c r="F4" s="635"/>
      <c r="G4" s="635"/>
      <c r="H4" s="635"/>
      <c r="I4" s="635"/>
      <c r="J4" s="635"/>
      <c r="K4" s="635"/>
      <c r="L4" s="635"/>
      <c r="M4" s="635"/>
      <c r="N4" s="635"/>
    </row>
    <row r="5" spans="1:17" ht="9.75" customHeight="1">
      <c r="A5" s="635"/>
      <c r="B5" s="635"/>
      <c r="C5" s="635"/>
      <c r="D5" s="635"/>
      <c r="E5" s="635"/>
      <c r="F5" s="635"/>
      <c r="G5" s="635"/>
      <c r="H5" s="635"/>
      <c r="I5" s="635"/>
      <c r="J5" s="635"/>
      <c r="K5" s="635"/>
      <c r="L5" s="635"/>
    </row>
    <row r="6" spans="1:17" s="139" customFormat="1" ht="18" customHeight="1">
      <c r="A6" s="656" t="s">
        <v>252</v>
      </c>
      <c r="B6" s="656"/>
      <c r="C6" s="637" t="str">
        <f>IF($L$6="","",IF(VLOOKUP($L$6,'LOP-MON'!$B$2:$N$43,4,FALSE)=0,"",VLOOKUP($L$6,'LOP-MON'!$B$2:$N$43,4,FALSE)))</f>
        <v>Truyền động điện và ứng dụng</v>
      </c>
      <c r="D6" s="637"/>
      <c r="E6" s="637"/>
      <c r="F6" s="637"/>
      <c r="G6" s="655" t="s">
        <v>271</v>
      </c>
      <c r="H6" s="655"/>
      <c r="I6" s="183">
        <f>IF(L6="","",IF(VLOOKUP(CONCATENATE("TC",MID(L6,1,4),MID(L6,6,3)),'LOP-MON'!$B$2:$N$43,4,FALSE)=0,"",VLOOKUP(CONCATENATE("TC",MID(L6,1,4),MID(L6,6,3)),'LOP-MON'!$B$2:$N$43,4,FALSE)))</f>
        <v>2</v>
      </c>
      <c r="K6" s="19" t="s">
        <v>187</v>
      </c>
      <c r="L6" s="637" t="str">
        <f>HKI!$D$3</f>
        <v>13CĐ-Đ1</v>
      </c>
      <c r="M6" s="637"/>
    </row>
    <row r="7" spans="1:17" s="140" customFormat="1" ht="18" customHeight="1">
      <c r="C7" s="141" t="s">
        <v>253</v>
      </c>
      <c r="D7" s="634" t="s">
        <v>2693</v>
      </c>
      <c r="E7" s="634"/>
      <c r="G7" s="172"/>
      <c r="H7" s="634" t="s">
        <v>254</v>
      </c>
      <c r="I7" s="634"/>
      <c r="J7" s="634" t="s">
        <v>2694</v>
      </c>
      <c r="K7" s="634"/>
      <c r="L7" s="634"/>
      <c r="N7" s="19"/>
      <c r="O7" s="19"/>
    </row>
    <row r="8" spans="1:17" s="139" customFormat="1" ht="15" customHeight="1">
      <c r="A8" s="646" t="s">
        <v>255</v>
      </c>
      <c r="B8" s="646" t="s">
        <v>188</v>
      </c>
      <c r="C8" s="646" t="s">
        <v>189</v>
      </c>
      <c r="D8" s="647"/>
      <c r="E8" s="646" t="s">
        <v>259</v>
      </c>
      <c r="F8" s="640" t="s">
        <v>261</v>
      </c>
      <c r="G8" s="640" t="s">
        <v>262</v>
      </c>
      <c r="H8" s="640" t="s">
        <v>263</v>
      </c>
      <c r="I8" s="640" t="s">
        <v>264</v>
      </c>
      <c r="J8" s="640" t="s">
        <v>265</v>
      </c>
      <c r="K8" s="640" t="s">
        <v>266</v>
      </c>
      <c r="L8" s="640" t="s">
        <v>267</v>
      </c>
      <c r="M8" s="640" t="s">
        <v>268</v>
      </c>
      <c r="N8" s="640" t="s">
        <v>260</v>
      </c>
      <c r="O8" s="641" t="s">
        <v>258</v>
      </c>
      <c r="P8" s="641" t="s">
        <v>269</v>
      </c>
      <c r="Q8" s="641" t="s">
        <v>270</v>
      </c>
    </row>
    <row r="9" spans="1:17" s="24" customFormat="1" ht="28.5" customHeight="1">
      <c r="A9" s="646"/>
      <c r="B9" s="646"/>
      <c r="C9" s="646"/>
      <c r="D9" s="647"/>
      <c r="E9" s="646"/>
      <c r="F9" s="640"/>
      <c r="G9" s="640"/>
      <c r="H9" s="640"/>
      <c r="I9" s="640"/>
      <c r="J9" s="640"/>
      <c r="K9" s="640"/>
      <c r="L9" s="640"/>
      <c r="M9" s="640"/>
      <c r="N9" s="640"/>
      <c r="O9" s="641"/>
      <c r="P9" s="641"/>
      <c r="Q9" s="641"/>
    </row>
    <row r="10" spans="1:17" s="24" customFormat="1" ht="15.75">
      <c r="A10" s="646"/>
      <c r="B10" s="646"/>
      <c r="C10" s="646"/>
      <c r="D10" s="647"/>
      <c r="E10" s="646"/>
      <c r="F10" s="648">
        <v>0.2</v>
      </c>
      <c r="G10" s="640"/>
      <c r="H10" s="640"/>
      <c r="I10" s="640"/>
      <c r="J10" s="640"/>
      <c r="K10" s="640"/>
      <c r="L10" s="6">
        <v>0.3</v>
      </c>
      <c r="M10" s="6">
        <v>0.5</v>
      </c>
      <c r="N10" s="640"/>
      <c r="O10" s="641"/>
      <c r="P10" s="164">
        <v>0.5</v>
      </c>
      <c r="Q10" s="641"/>
    </row>
    <row r="11" spans="1:17" ht="18" customHeight="1">
      <c r="A11" s="123">
        <f>IF(OR($C$6="",$I$6="",$L$6=""),"",IF($B11="","",SUBTOTAL(3,$B$11:B11)))</f>
        <v>1</v>
      </c>
      <c r="B11" s="151" t="str">
        <f>IF(OR($C$6="",$I$6="",$L$6=""),"",IF(HKI!$B11="","",HKI!$B11))</f>
        <v>13D301Đ001</v>
      </c>
      <c r="C11" s="26" t="str">
        <f>IF(OR($C$6="",$I$6=""),"",IF(HKI!$C11="","",HKI!$C11))</f>
        <v>Lương Hoàng Thuận</v>
      </c>
      <c r="D11" s="27" t="str">
        <f>IF(OR($C$6="",$I$6=""),"",IF(HKI!$D11="","",HKI!$D11))</f>
        <v>An</v>
      </c>
      <c r="E11" s="459"/>
      <c r="F11" s="460">
        <v>6</v>
      </c>
      <c r="G11" s="460">
        <v>6</v>
      </c>
      <c r="H11" s="460"/>
      <c r="I11" s="460"/>
      <c r="J11" s="460"/>
      <c r="K11" s="460"/>
      <c r="L11" s="460">
        <v>6</v>
      </c>
      <c r="M11" s="460">
        <v>4.5</v>
      </c>
      <c r="N11" s="142">
        <f>IF($B11="","",IF(ISNUMBER($E11)=TRUE,$E11,IF(COUNT($F11:$M11)=0,"",IF(COUNT($F11:$K11)=0,ROUND(0.3*$L11+0.5*$M11,1),ROUND(0.2*(SUM($F11:$K11)/COUNT($F11:$K11))+0.3*$L11+0.5*$M11,1)))))</f>
        <v>5.3</v>
      </c>
      <c r="O11" s="173" t="str">
        <f t="shared" ref="O11:O74" si="0">IF($B11="","",IF($N11="","KXL",IF($N11&lt;4,"Kém",IF($N11&lt;5.5,"TB Yếu",IF($N11&lt;7,"T.Bình",IF($N11&lt;8.5,"Khá","Giỏi"))))))</f>
        <v>TB Yếu</v>
      </c>
      <c r="P11" s="174" t="str">
        <f>IF(OR($B11="",$C$6&lt;&gt;HKI!$P$6,HKI!$R11=""),"",HKI!$R11)</f>
        <v/>
      </c>
      <c r="Q11" s="174" t="str">
        <f>IF(OR(ISNUMBER($E11)=TRUE,$B11="",$P11=""),"",IF(COUNT($F11:$M11)=0,"",IF($M11&gt;=$P11,$N11,IF(COUNT($F11:$K11)=0,ROUND(0.3*$L11+0.5*$P11,1),ROUND(0.2*(SUM($F11:$K11)/COUNT($F11:$K11))+0.3*$L11+0.5*$P11,1)))))</f>
        <v/>
      </c>
    </row>
    <row r="12" spans="1:17" ht="18" customHeight="1">
      <c r="A12" s="123">
        <f>IF(OR($C$6="",$I$6="",$L$6=""),"",IF($B12="","",SUBTOTAL(3,$B$11:B12)))</f>
        <v>2</v>
      </c>
      <c r="B12" s="151" t="str">
        <f>IF(OR($C$6="",$I$6="",$L$6=""),"",IF(HKI!$B12="","",HKI!$B12))</f>
        <v>13D301Đ004</v>
      </c>
      <c r="C12" s="26" t="str">
        <f>IF(OR($C$6="",$I$6=""),"",IF(HKI!$C12="","",HKI!$C12))</f>
        <v>Đặng Thế</v>
      </c>
      <c r="D12" s="27" t="str">
        <f>IF(OR($C$6="",$I$6=""),"",IF(HKI!$D12="","",HKI!$D12))</f>
        <v>Anh</v>
      </c>
      <c r="E12" s="461"/>
      <c r="F12" s="462">
        <v>7</v>
      </c>
      <c r="G12" s="462">
        <v>6.5</v>
      </c>
      <c r="H12" s="462"/>
      <c r="I12" s="462"/>
      <c r="J12" s="462"/>
      <c r="K12" s="462"/>
      <c r="L12" s="462">
        <v>5</v>
      </c>
      <c r="M12" s="462">
        <v>5.8</v>
      </c>
      <c r="N12" s="142">
        <f t="shared" ref="N12:N75" si="1">IF($B12="","",IF(ISNUMBER($E12)=TRUE,$E12,IF(COUNT($F12:$M12)=0,"",IF(COUNT($F12:$K12)=0,ROUND(0.3*$L12+0.5*$M12,1),ROUND(0.2*(SUM($F12:$K12)/COUNT($F12:$K12))+0.3*$L12+0.5*$M12,1)))))</f>
        <v>5.8</v>
      </c>
      <c r="O12" s="173" t="str">
        <f t="shared" si="0"/>
        <v>T.Bình</v>
      </c>
      <c r="P12" s="174" t="str">
        <f>IF(OR($B12="",$C$6&lt;&gt;HKI!$P$6,HKI!$R12=""),"",HKI!$R12)</f>
        <v/>
      </c>
      <c r="Q12" s="174" t="str">
        <f t="shared" ref="Q12:Q75" si="2">IF(OR(ISNUMBER($E12)=TRUE,$B12="",$P12=""),"",IF(COUNT($F12:$M12)=0,"",IF($M12&gt;=$P12,$N12,IF(COUNT($F12:$K12)=0,ROUND(0.3*$L12+0.5*$P12,1),ROUND(0.2*(SUM($F12:$K12)/COUNT($F12:$K12))+0.3*$L12+0.5*$P12,1)))))</f>
        <v/>
      </c>
    </row>
    <row r="13" spans="1:17" ht="18" customHeight="1">
      <c r="A13" s="123">
        <f>IF(OR($C$6="",$I$6="",$L$6=""),"",IF($B13="","",SUBTOTAL(3,$B$11:B13)))</f>
        <v>3</v>
      </c>
      <c r="B13" s="151" t="str">
        <f>IF(OR($C$6="",$I$6="",$L$6=""),"",IF(HKI!$B13="","",HKI!$B13))</f>
        <v>13D301Đ149</v>
      </c>
      <c r="C13" s="26" t="str">
        <f>IF(OR($C$6="",$I$6=""),"",IF(HKI!$C13="","",HKI!$C13))</f>
        <v>Đỗ Huỳnh</v>
      </c>
      <c r="D13" s="27" t="str">
        <f>IF(OR($C$6="",$I$6=""),"",IF(HKI!$D13="","",HKI!$D13))</f>
        <v>Bảo</v>
      </c>
      <c r="E13" s="461"/>
      <c r="F13" s="462">
        <v>8</v>
      </c>
      <c r="G13" s="462">
        <v>7.5</v>
      </c>
      <c r="H13" s="462"/>
      <c r="I13" s="462"/>
      <c r="J13" s="462"/>
      <c r="K13" s="462"/>
      <c r="L13" s="462">
        <v>6</v>
      </c>
      <c r="M13" s="462">
        <v>5</v>
      </c>
      <c r="N13" s="142">
        <f t="shared" si="1"/>
        <v>5.9</v>
      </c>
      <c r="O13" s="173" t="str">
        <f t="shared" si="0"/>
        <v>T.Bình</v>
      </c>
      <c r="P13" s="174" t="str">
        <f>IF(OR($B13="",$C$6&lt;&gt;HKI!$P$6,HKI!$R13=""),"",HKI!$R13)</f>
        <v/>
      </c>
      <c r="Q13" s="174" t="str">
        <f t="shared" si="2"/>
        <v/>
      </c>
    </row>
    <row r="14" spans="1:17" ht="18" customHeight="1">
      <c r="A14" s="123">
        <f>IF(OR($C$6="",$I$6="",$L$6=""),"",IF($B14="","",SUBTOTAL(3,$B$11:B14)))</f>
        <v>4</v>
      </c>
      <c r="B14" s="151" t="str">
        <f>IF(OR($C$6="",$I$6="",$L$6=""),"",IF(HKI!$B14="","",HKI!$B14))</f>
        <v>13D301Đ008</v>
      </c>
      <c r="C14" s="26" t="str">
        <f>IF(OR($C$6="",$I$6=""),"",IF(HKI!$C14="","",HKI!$C14))</f>
        <v>Trương Vũ</v>
      </c>
      <c r="D14" s="27" t="str">
        <f>IF(OR($C$6="",$I$6=""),"",IF(HKI!$D14="","",HKI!$D14))</f>
        <v>Bảo</v>
      </c>
      <c r="E14" s="461"/>
      <c r="F14" s="462">
        <v>7</v>
      </c>
      <c r="G14" s="462">
        <v>6.5</v>
      </c>
      <c r="H14" s="462"/>
      <c r="I14" s="462"/>
      <c r="J14" s="462"/>
      <c r="K14" s="462"/>
      <c r="L14" s="462">
        <v>6</v>
      </c>
      <c r="M14" s="462">
        <v>5</v>
      </c>
      <c r="N14" s="142">
        <f t="shared" si="1"/>
        <v>5.7</v>
      </c>
      <c r="O14" s="173" t="str">
        <f t="shared" si="0"/>
        <v>T.Bình</v>
      </c>
      <c r="P14" s="174" t="str">
        <f>IF(OR($B14="",$C$6&lt;&gt;HKI!$P$6,HKI!$R14=""),"",HKI!$R14)</f>
        <v/>
      </c>
      <c r="Q14" s="174" t="str">
        <f t="shared" si="2"/>
        <v/>
      </c>
    </row>
    <row r="15" spans="1:17" ht="18" customHeight="1">
      <c r="A15" s="123">
        <f>IF(OR($C$6="",$I$6="",$L$6=""),"",IF($B15="","",SUBTOTAL(3,$B$11:B15)))</f>
        <v>5</v>
      </c>
      <c r="B15" s="151" t="str">
        <f>IF(OR($C$6="",$I$6="",$L$6=""),"",IF(HKI!$B15="","",HKI!$B15))</f>
        <v>13D301Đ009</v>
      </c>
      <c r="C15" s="26" t="str">
        <f>IF(OR($C$6="",$I$6=""),"",IF(HKI!$C15="","",HKI!$C15))</f>
        <v>Võ Thành</v>
      </c>
      <c r="D15" s="27" t="str">
        <f>IF(OR($C$6="",$I$6=""),"",IF(HKI!$D15="","",HKI!$D15))</f>
        <v>Bảo</v>
      </c>
      <c r="E15" s="461"/>
      <c r="F15" s="462">
        <v>6</v>
      </c>
      <c r="G15" s="462">
        <v>5.5</v>
      </c>
      <c r="H15" s="462"/>
      <c r="I15" s="462"/>
      <c r="J15" s="462"/>
      <c r="K15" s="462"/>
      <c r="L15" s="462">
        <v>5</v>
      </c>
      <c r="M15" s="462">
        <v>4</v>
      </c>
      <c r="N15" s="142">
        <f t="shared" si="1"/>
        <v>4.7</v>
      </c>
      <c r="O15" s="173" t="str">
        <f t="shared" si="0"/>
        <v>TB Yếu</v>
      </c>
      <c r="P15" s="174" t="str">
        <f>IF(OR($B15="",$C$6&lt;&gt;HKI!$P$6,HKI!$R15=""),"",HKI!$R15)</f>
        <v/>
      </c>
      <c r="Q15" s="174" t="str">
        <f t="shared" si="2"/>
        <v/>
      </c>
    </row>
    <row r="16" spans="1:17" ht="18" customHeight="1">
      <c r="A16" s="123">
        <f>IF(OR($C$6="",$I$6="",$L$6=""),"",IF($B16="","",SUBTOTAL(3,$B$11:B16)))</f>
        <v>6</v>
      </c>
      <c r="B16" s="151" t="str">
        <f>IF(OR($C$6="",$I$6="",$L$6=""),"",IF(HKI!$B16="","",HKI!$B16))</f>
        <v>13D301Đ013</v>
      </c>
      <c r="C16" s="26" t="str">
        <f>IF(OR($C$6="",$I$6=""),"",IF(HKI!$C16="","",HKI!$C16))</f>
        <v>Nguyễn Chí</v>
      </c>
      <c r="D16" s="27" t="str">
        <f>IF(OR($C$6="",$I$6=""),"",IF(HKI!$D16="","",HKI!$D16))</f>
        <v>Bình</v>
      </c>
      <c r="E16" s="461"/>
      <c r="F16" s="462">
        <v>5</v>
      </c>
      <c r="G16" s="462">
        <v>5.5</v>
      </c>
      <c r="H16" s="462"/>
      <c r="I16" s="462"/>
      <c r="J16" s="462"/>
      <c r="K16" s="462"/>
      <c r="L16" s="462">
        <v>6</v>
      </c>
      <c r="M16" s="462">
        <v>4</v>
      </c>
      <c r="N16" s="142">
        <f t="shared" si="1"/>
        <v>4.9000000000000004</v>
      </c>
      <c r="O16" s="173" t="str">
        <f t="shared" si="0"/>
        <v>TB Yếu</v>
      </c>
      <c r="P16" s="174" t="str">
        <f>IF(OR($B16="",$C$6&lt;&gt;HKI!$P$6,HKI!$R16=""),"",HKI!$R16)</f>
        <v/>
      </c>
      <c r="Q16" s="174" t="str">
        <f t="shared" si="2"/>
        <v/>
      </c>
    </row>
    <row r="17" spans="1:17" ht="18" customHeight="1">
      <c r="A17" s="123">
        <f>IF(OR($C$6="",$I$6="",$L$6=""),"",IF($B17="","",SUBTOTAL(3,$B$11:B17)))</f>
        <v>7</v>
      </c>
      <c r="B17" s="151" t="str">
        <f>IF(OR($C$6="",$I$6="",$L$6=""),"",IF(HKI!$B17="","",HKI!$B17))</f>
        <v>13D301Đ016</v>
      </c>
      <c r="C17" s="26" t="str">
        <f>IF(OR($C$6="",$I$6=""),"",IF(HKI!$C17="","",HKI!$C17))</f>
        <v>Vũ Văn</v>
      </c>
      <c r="D17" s="27" t="str">
        <f>IF(OR($C$6="",$I$6=""),"",IF(HKI!$D17="","",HKI!$D17))</f>
        <v>Chiến</v>
      </c>
      <c r="E17" s="461"/>
      <c r="F17" s="462">
        <v>4</v>
      </c>
      <c r="G17" s="462">
        <v>5.5</v>
      </c>
      <c r="H17" s="462"/>
      <c r="I17" s="462"/>
      <c r="J17" s="462"/>
      <c r="K17" s="462"/>
      <c r="L17" s="462">
        <v>6</v>
      </c>
      <c r="M17" s="462">
        <v>5.5</v>
      </c>
      <c r="N17" s="142">
        <f t="shared" si="1"/>
        <v>5.5</v>
      </c>
      <c r="O17" s="173" t="str">
        <f t="shared" si="0"/>
        <v>T.Bình</v>
      </c>
      <c r="P17" s="174" t="str">
        <f>IF(OR($B17="",$C$6&lt;&gt;HKI!$P$6,HKI!$R17=""),"",HKI!$R17)</f>
        <v/>
      </c>
      <c r="Q17" s="174" t="str">
        <f t="shared" si="2"/>
        <v/>
      </c>
    </row>
    <row r="18" spans="1:17" ht="18" customHeight="1">
      <c r="A18" s="123">
        <f>IF(OR($C$6="",$I$6="",$L$6=""),"",IF($B18="","",SUBTOTAL(3,$B$11:B18)))</f>
        <v>8</v>
      </c>
      <c r="B18" s="151" t="str">
        <f>IF(OR($C$6="",$I$6="",$L$6=""),"",IF(HKI!$B18="","",HKI!$B18))</f>
        <v>13D301Đ017</v>
      </c>
      <c r="C18" s="26" t="str">
        <f>IF(OR($C$6="",$I$6=""),"",IF(HKI!$C18="","",HKI!$C18))</f>
        <v>Trần Văn</v>
      </c>
      <c r="D18" s="27" t="str">
        <f>IF(OR($C$6="",$I$6=""),"",IF(HKI!$D18="","",HKI!$D18))</f>
        <v>Chinh</v>
      </c>
      <c r="E18" s="461"/>
      <c r="F18" s="462">
        <v>6</v>
      </c>
      <c r="G18" s="462">
        <v>5.5</v>
      </c>
      <c r="H18" s="462"/>
      <c r="I18" s="462"/>
      <c r="J18" s="462"/>
      <c r="K18" s="462"/>
      <c r="L18" s="462">
        <v>5</v>
      </c>
      <c r="M18" s="462">
        <v>4</v>
      </c>
      <c r="N18" s="142">
        <f t="shared" si="1"/>
        <v>4.7</v>
      </c>
      <c r="O18" s="173" t="str">
        <f t="shared" si="0"/>
        <v>TB Yếu</v>
      </c>
      <c r="P18" s="174" t="str">
        <f>IF(OR($B18="",$C$6&lt;&gt;HKI!$P$6,HKI!$R18=""),"",HKI!$R18)</f>
        <v/>
      </c>
      <c r="Q18" s="174" t="str">
        <f t="shared" si="2"/>
        <v/>
      </c>
    </row>
    <row r="19" spans="1:17" ht="18" customHeight="1">
      <c r="A19" s="123">
        <f>IF(OR($C$6="",$I$6="",$L$6=""),"",IF($B19="","",SUBTOTAL(3,$B$11:B19)))</f>
        <v>9</v>
      </c>
      <c r="B19" s="151" t="str">
        <f>IF(OR($C$6="",$I$6="",$L$6=""),"",IF(HKI!$B19="","",HKI!$B19))</f>
        <v>13D301Đ193</v>
      </c>
      <c r="C19" s="26" t="str">
        <f>IF(OR($C$6="",$I$6=""),"",IF(HKI!$C19="","",HKI!$C19))</f>
        <v>Phạm Công</v>
      </c>
      <c r="D19" s="27" t="str">
        <f>IF(OR($C$6="",$I$6=""),"",IF(HKI!$D19="","",HKI!$D19))</f>
        <v>Chính</v>
      </c>
      <c r="E19" s="461"/>
      <c r="F19" s="462">
        <v>4</v>
      </c>
      <c r="G19" s="462">
        <v>5.5</v>
      </c>
      <c r="H19" s="462"/>
      <c r="I19" s="462"/>
      <c r="J19" s="462"/>
      <c r="K19" s="462"/>
      <c r="L19" s="462">
        <v>6</v>
      </c>
      <c r="M19" s="462">
        <v>2</v>
      </c>
      <c r="N19" s="142">
        <f t="shared" si="1"/>
        <v>3.8</v>
      </c>
      <c r="O19" s="173" t="str">
        <f t="shared" si="0"/>
        <v>Kém</v>
      </c>
      <c r="P19" s="174" t="str">
        <f>IF(OR($B19="",$C$6&lt;&gt;HKI!$P$6,HKI!$R19=""),"",HKI!$R19)</f>
        <v/>
      </c>
      <c r="Q19" s="174" t="str">
        <f t="shared" si="2"/>
        <v/>
      </c>
    </row>
    <row r="20" spans="1:17" ht="18" customHeight="1">
      <c r="A20" s="123">
        <f>IF(OR($C$6="",$I$6="",$L$6=""),"",IF($B20="","",SUBTOTAL(3,$B$11:B20)))</f>
        <v>10</v>
      </c>
      <c r="B20" s="151" t="str">
        <f>IF(OR($C$6="",$I$6="",$L$6=""),"",IF(HKI!$B20="","",HKI!$B20))</f>
        <v>13D301Đ020</v>
      </c>
      <c r="C20" s="26" t="str">
        <f>IF(OR($C$6="",$I$6=""),"",IF(HKI!$C20="","",HKI!$C20))</f>
        <v>Trịnh Lê</v>
      </c>
      <c r="D20" s="27" t="str">
        <f>IF(OR($C$6="",$I$6=""),"",IF(HKI!$D20="","",HKI!$D20))</f>
        <v>Cung</v>
      </c>
      <c r="E20" s="461"/>
      <c r="F20" s="462">
        <v>6</v>
      </c>
      <c r="G20" s="462">
        <v>6.5</v>
      </c>
      <c r="H20" s="462"/>
      <c r="I20" s="462"/>
      <c r="J20" s="462"/>
      <c r="K20" s="462"/>
      <c r="L20" s="462">
        <v>7</v>
      </c>
      <c r="M20" s="462">
        <v>4.8</v>
      </c>
      <c r="N20" s="142">
        <f t="shared" si="1"/>
        <v>5.8</v>
      </c>
      <c r="O20" s="173" t="str">
        <f t="shared" si="0"/>
        <v>T.Bình</v>
      </c>
      <c r="P20" s="174" t="str">
        <f>IF(OR($B20="",$C$6&lt;&gt;HKI!$P$6,HKI!$R20=""),"",HKI!$R20)</f>
        <v/>
      </c>
      <c r="Q20" s="174" t="str">
        <f t="shared" si="2"/>
        <v/>
      </c>
    </row>
    <row r="21" spans="1:17" ht="18" customHeight="1">
      <c r="A21" s="123">
        <f>IF(OR($C$6="",$I$6="",$L$6=""),"",IF($B21="","",SUBTOTAL(3,$B$11:B21)))</f>
        <v>11</v>
      </c>
      <c r="B21" s="151" t="str">
        <f>IF(OR($C$6="",$I$6="",$L$6=""),"",IF(HKI!$B21="","",HKI!$B21))</f>
        <v>13D301Đ021</v>
      </c>
      <c r="C21" s="26" t="str">
        <f>IF(OR($C$6="",$I$6=""),"",IF(HKI!$C21="","",HKI!$C21))</f>
        <v>Nguyễn Chí</v>
      </c>
      <c r="D21" s="27" t="str">
        <f>IF(OR($C$6="",$I$6=""),"",IF(HKI!$D21="","",HKI!$D21))</f>
        <v>Cường</v>
      </c>
      <c r="E21" s="461"/>
      <c r="F21" s="462">
        <v>4</v>
      </c>
      <c r="G21" s="462">
        <v>5.5</v>
      </c>
      <c r="H21" s="462"/>
      <c r="I21" s="462"/>
      <c r="J21" s="462"/>
      <c r="K21" s="462"/>
      <c r="L21" s="462">
        <v>6</v>
      </c>
      <c r="M21" s="462">
        <v>6.5</v>
      </c>
      <c r="N21" s="142">
        <f t="shared" si="1"/>
        <v>6</v>
      </c>
      <c r="O21" s="173" t="str">
        <f t="shared" si="0"/>
        <v>T.Bình</v>
      </c>
      <c r="P21" s="174" t="str">
        <f>IF(OR($B21="",$C$6&lt;&gt;HKI!$P$6,HKI!$R21=""),"",HKI!$R21)</f>
        <v/>
      </c>
      <c r="Q21" s="174" t="str">
        <f t="shared" si="2"/>
        <v/>
      </c>
    </row>
    <row r="22" spans="1:17" ht="18" customHeight="1">
      <c r="A22" s="123">
        <f>IF(OR($C$6="",$I$6="",$L$6=""),"",IF($B22="","",SUBTOTAL(3,$B$11:B22)))</f>
        <v>12</v>
      </c>
      <c r="B22" s="151" t="str">
        <f>IF(OR($C$6="",$I$6="",$L$6=""),"",IF(HKI!$B22="","",HKI!$B22))</f>
        <v>13D301Đ033</v>
      </c>
      <c r="C22" s="26" t="str">
        <f>IF(OR($C$6="",$I$6=""),"",IF(HKI!$C22="","",HKI!$C22))</f>
        <v xml:space="preserve">Trương Văn </v>
      </c>
      <c r="D22" s="27" t="str">
        <f>IF(OR($C$6="",$I$6=""),"",IF(HKI!$D22="","",HKI!$D22))</f>
        <v>Đạt</v>
      </c>
      <c r="E22" s="461"/>
      <c r="F22" s="462">
        <v>8</v>
      </c>
      <c r="G22" s="462">
        <v>7.5</v>
      </c>
      <c r="H22" s="462"/>
      <c r="I22" s="462"/>
      <c r="J22" s="462"/>
      <c r="K22" s="462"/>
      <c r="L22" s="462">
        <v>5</v>
      </c>
      <c r="M22" s="462">
        <v>5.3</v>
      </c>
      <c r="N22" s="142">
        <f t="shared" si="1"/>
        <v>5.7</v>
      </c>
      <c r="O22" s="173" t="str">
        <f t="shared" si="0"/>
        <v>T.Bình</v>
      </c>
      <c r="P22" s="174" t="str">
        <f>IF(OR($B22="",$C$6&lt;&gt;HKI!$P$6,HKI!$R22=""),"",HKI!$R22)</f>
        <v/>
      </c>
      <c r="Q22" s="174" t="str">
        <f t="shared" si="2"/>
        <v/>
      </c>
    </row>
    <row r="23" spans="1:17" ht="18" customHeight="1">
      <c r="A23" s="123">
        <f>IF(OR($C$6="",$I$6="",$L$6=""),"",IF($B23="","",SUBTOTAL(3,$B$11:B23)))</f>
        <v>13</v>
      </c>
      <c r="B23" s="151" t="str">
        <f>IF(OR($C$6="",$I$6="",$L$6=""),"",IF(HKI!$B23="","",HKI!$B23))</f>
        <v>13D301Đ037</v>
      </c>
      <c r="C23" s="26" t="str">
        <f>IF(OR($C$6="",$I$6=""),"",IF(HKI!$C23="","",HKI!$C23))</f>
        <v>Nguyễn Thành</v>
      </c>
      <c r="D23" s="27" t="str">
        <f>IF(OR($C$6="",$I$6=""),"",IF(HKI!$D23="","",HKI!$D23))</f>
        <v>Đông</v>
      </c>
      <c r="E23" s="461"/>
      <c r="F23" s="462">
        <v>4</v>
      </c>
      <c r="G23" s="462">
        <v>5</v>
      </c>
      <c r="H23" s="462"/>
      <c r="I23" s="462"/>
      <c r="J23" s="462"/>
      <c r="K23" s="462"/>
      <c r="L23" s="462">
        <v>6</v>
      </c>
      <c r="M23" s="462">
        <v>4.8</v>
      </c>
      <c r="N23" s="142">
        <f t="shared" si="1"/>
        <v>5.0999999999999996</v>
      </c>
      <c r="O23" s="173" t="str">
        <f t="shared" si="0"/>
        <v>TB Yếu</v>
      </c>
      <c r="P23" s="174" t="str">
        <f>IF(OR($B23="",$C$6&lt;&gt;HKI!$P$6,HKI!$R23=""),"",HKI!$R23)</f>
        <v/>
      </c>
      <c r="Q23" s="174" t="str">
        <f t="shared" si="2"/>
        <v/>
      </c>
    </row>
    <row r="24" spans="1:17" ht="18" customHeight="1">
      <c r="A24" s="123">
        <f>IF(OR($C$6="",$I$6="",$L$6=""),"",IF($B24="","",SUBTOTAL(3,$B$11:B24)))</f>
        <v>14</v>
      </c>
      <c r="B24" s="151" t="str">
        <f>IF(OR($C$6="",$I$6="",$L$6=""),"",IF(HKI!$B24="","",HKI!$B24))</f>
        <v>13D301Đ024</v>
      </c>
      <c r="C24" s="26" t="str">
        <f>IF(OR($C$6="",$I$6=""),"",IF(HKI!$C24="","",HKI!$C24))</f>
        <v xml:space="preserve">Trương Công </v>
      </c>
      <c r="D24" s="27" t="str">
        <f>IF(OR($C$6="",$I$6=""),"",IF(HKI!$D24="","",HKI!$D24))</f>
        <v>Duẩn</v>
      </c>
      <c r="E24" s="461"/>
      <c r="F24" s="462">
        <v>7</v>
      </c>
      <c r="G24" s="462">
        <v>7</v>
      </c>
      <c r="H24" s="462"/>
      <c r="I24" s="462"/>
      <c r="J24" s="462"/>
      <c r="K24" s="462"/>
      <c r="L24" s="462">
        <v>6</v>
      </c>
      <c r="M24" s="462">
        <v>6.3</v>
      </c>
      <c r="N24" s="142">
        <f t="shared" si="1"/>
        <v>6.4</v>
      </c>
      <c r="O24" s="173" t="str">
        <f t="shared" si="0"/>
        <v>T.Bình</v>
      </c>
      <c r="P24" s="174" t="str">
        <f>IF(OR($B24="",$C$6&lt;&gt;HKI!$P$6,HKI!$R24=""),"",HKI!$R24)</f>
        <v/>
      </c>
      <c r="Q24" s="174" t="str">
        <f t="shared" si="2"/>
        <v/>
      </c>
    </row>
    <row r="25" spans="1:17" ht="18" customHeight="1">
      <c r="A25" s="123">
        <f>IF(OR($C$6="",$I$6="",$L$6=""),"",IF($B25="","",SUBTOTAL(3,$B$11:B25)))</f>
        <v>15</v>
      </c>
      <c r="B25" s="151" t="str">
        <f>IF(OR($C$6="",$I$6="",$L$6=""),"",IF(HKI!$B25="","",HKI!$B25))</f>
        <v>13D301Đ191</v>
      </c>
      <c r="C25" s="26" t="str">
        <f>IF(OR($C$6="",$I$6=""),"",IF(HKI!$C25="","",HKI!$C25))</f>
        <v>Nguyễn Hiền</v>
      </c>
      <c r="D25" s="27" t="str">
        <f>IF(OR($C$6="",$I$6=""),"",IF(HKI!$D25="","",HKI!$D25))</f>
        <v>Đức</v>
      </c>
      <c r="E25" s="461"/>
      <c r="F25" s="462">
        <v>7</v>
      </c>
      <c r="G25" s="462">
        <v>7</v>
      </c>
      <c r="H25" s="462"/>
      <c r="I25" s="462"/>
      <c r="J25" s="462"/>
      <c r="K25" s="462"/>
      <c r="L25" s="462">
        <v>5</v>
      </c>
      <c r="M25" s="462">
        <v>5.3</v>
      </c>
      <c r="N25" s="142">
        <f t="shared" si="1"/>
        <v>5.6</v>
      </c>
      <c r="O25" s="173" t="str">
        <f t="shared" si="0"/>
        <v>T.Bình</v>
      </c>
      <c r="P25" s="174" t="str">
        <f>IF(OR($B25="",$C$6&lt;&gt;HKI!$P$6,HKI!$R25=""),"",HKI!$R25)</f>
        <v/>
      </c>
      <c r="Q25" s="174" t="str">
        <f t="shared" si="2"/>
        <v/>
      </c>
    </row>
    <row r="26" spans="1:17" ht="18" customHeight="1">
      <c r="A26" s="123">
        <f>IF(OR($C$6="",$I$6="",$L$6=""),"",IF($B26="","",SUBTOTAL(3,$B$11:B26)))</f>
        <v>16</v>
      </c>
      <c r="B26" s="151" t="str">
        <f>IF(OR($C$6="",$I$6="",$L$6=""),"",IF(HKI!$B26="","",HKI!$B26))</f>
        <v>13D301Đ040</v>
      </c>
      <c r="C26" s="26" t="str">
        <f>IF(OR($C$6="",$I$6=""),"",IF(HKI!$C26="","",HKI!$C26))</f>
        <v>Nguyễn Văn</v>
      </c>
      <c r="D26" s="27" t="str">
        <f>IF(OR($C$6="",$I$6=""),"",IF(HKI!$D26="","",HKI!$D26))</f>
        <v>Đức</v>
      </c>
      <c r="E26" s="461"/>
      <c r="F26" s="462">
        <v>8</v>
      </c>
      <c r="G26" s="462">
        <v>8</v>
      </c>
      <c r="H26" s="462"/>
      <c r="I26" s="462"/>
      <c r="J26" s="462"/>
      <c r="K26" s="462"/>
      <c r="L26" s="462">
        <v>6</v>
      </c>
      <c r="M26" s="462">
        <v>5.3</v>
      </c>
      <c r="N26" s="142">
        <f t="shared" si="1"/>
        <v>6.1</v>
      </c>
      <c r="O26" s="173" t="str">
        <f t="shared" si="0"/>
        <v>T.Bình</v>
      </c>
      <c r="P26" s="174" t="str">
        <f>IF(OR($B26="",$C$6&lt;&gt;HKI!$P$6,HKI!$R26=""),"",HKI!$R26)</f>
        <v/>
      </c>
      <c r="Q26" s="174" t="str">
        <f t="shared" si="2"/>
        <v/>
      </c>
    </row>
    <row r="27" spans="1:17" ht="18" customHeight="1">
      <c r="A27" s="123">
        <f>IF(OR($C$6="",$I$6="",$L$6=""),"",IF($B27="","",SUBTOTAL(3,$B$11:B27)))</f>
        <v>17</v>
      </c>
      <c r="B27" s="151" t="str">
        <f>IF(OR($C$6="",$I$6="",$L$6=""),"",IF(HKI!$B27="","",HKI!$B27))</f>
        <v>13D301Đ025</v>
      </c>
      <c r="C27" s="26" t="str">
        <f>IF(OR($C$6="",$I$6=""),"",IF(HKI!$C27="","",HKI!$C27))</f>
        <v>Nguyễn Ngọc</v>
      </c>
      <c r="D27" s="27" t="str">
        <f>IF(OR($C$6="",$I$6=""),"",IF(HKI!$D27="","",HKI!$D27))</f>
        <v>Dũng</v>
      </c>
      <c r="E27" s="461"/>
      <c r="F27" s="462">
        <v>5</v>
      </c>
      <c r="G27" s="462">
        <v>5.5</v>
      </c>
      <c r="H27" s="462"/>
      <c r="I27" s="462"/>
      <c r="J27" s="462"/>
      <c r="K27" s="462"/>
      <c r="L27" s="462">
        <v>6</v>
      </c>
      <c r="M27" s="462">
        <v>4</v>
      </c>
      <c r="N27" s="142">
        <f t="shared" si="1"/>
        <v>4.9000000000000004</v>
      </c>
      <c r="O27" s="173" t="str">
        <f t="shared" si="0"/>
        <v>TB Yếu</v>
      </c>
      <c r="P27" s="174" t="str">
        <f>IF(OR($B27="",$C$6&lt;&gt;HKI!$P$6,HKI!$R27=""),"",HKI!$R27)</f>
        <v/>
      </c>
      <c r="Q27" s="174" t="str">
        <f t="shared" si="2"/>
        <v/>
      </c>
    </row>
    <row r="28" spans="1:17" ht="18" customHeight="1">
      <c r="A28" s="123">
        <f>IF(OR($C$6="",$I$6="",$L$6=""),"",IF($B28="","",SUBTOTAL(3,$B$11:B28)))</f>
        <v>18</v>
      </c>
      <c r="B28" s="151" t="str">
        <f>IF(OR($C$6="",$I$6="",$L$6=""),"",IF(HKI!$B28="","",HKI!$B28))</f>
        <v>13D301Đ192</v>
      </c>
      <c r="C28" s="26" t="str">
        <f>IF(OR($C$6="",$I$6=""),"",IF(HKI!$C28="","",HKI!$C28))</f>
        <v>Cao Trùng</v>
      </c>
      <c r="D28" s="27" t="str">
        <f>IF(OR($C$6="",$I$6=""),"",IF(HKI!$D28="","",HKI!$D28))</f>
        <v>Dương</v>
      </c>
      <c r="E28" s="461"/>
      <c r="F28" s="462">
        <v>6</v>
      </c>
      <c r="G28" s="462">
        <v>6.5</v>
      </c>
      <c r="H28" s="462"/>
      <c r="I28" s="462"/>
      <c r="J28" s="462"/>
      <c r="K28" s="462"/>
      <c r="L28" s="462">
        <v>7</v>
      </c>
      <c r="M28" s="462">
        <v>7.5</v>
      </c>
      <c r="N28" s="142">
        <f t="shared" si="1"/>
        <v>7.1</v>
      </c>
      <c r="O28" s="173" t="str">
        <f t="shared" si="0"/>
        <v>Khá</v>
      </c>
      <c r="P28" s="174" t="str">
        <f>IF(OR($B28="",$C$6&lt;&gt;HKI!$P$6,HKI!$R28=""),"",HKI!$R28)</f>
        <v/>
      </c>
      <c r="Q28" s="174" t="str">
        <f t="shared" si="2"/>
        <v/>
      </c>
    </row>
    <row r="29" spans="1:17" ht="18" customHeight="1">
      <c r="A29" s="123">
        <f>IF(OR($C$6="",$I$6="",$L$6=""),"",IF($B29="","",SUBTOTAL(3,$B$11:B29)))</f>
        <v>19</v>
      </c>
      <c r="B29" s="151" t="str">
        <f>IF(OR($C$6="",$I$6="",$L$6=""),"",IF(HKI!$B29="","",HKI!$B29))</f>
        <v>13D301Đ028</v>
      </c>
      <c r="C29" s="26" t="str">
        <f>IF(OR($C$6="",$I$6=""),"",IF(HKI!$C29="","",HKI!$C29))</f>
        <v>Hoàng Văn</v>
      </c>
      <c r="D29" s="27" t="str">
        <f>IF(OR($C$6="",$I$6=""),"",IF(HKI!$D29="","",HKI!$D29))</f>
        <v>Duy</v>
      </c>
      <c r="E29" s="461"/>
      <c r="F29" s="462">
        <v>4</v>
      </c>
      <c r="G29" s="462">
        <v>5</v>
      </c>
      <c r="H29" s="462"/>
      <c r="I29" s="462"/>
      <c r="J29" s="462"/>
      <c r="K29" s="462"/>
      <c r="L29" s="462">
        <v>5</v>
      </c>
      <c r="M29" s="462">
        <v>4.8</v>
      </c>
      <c r="N29" s="142">
        <f t="shared" si="1"/>
        <v>4.8</v>
      </c>
      <c r="O29" s="173" t="str">
        <f t="shared" si="0"/>
        <v>TB Yếu</v>
      </c>
      <c r="P29" s="174" t="str">
        <f>IF(OR($B29="",$C$6&lt;&gt;HKI!$P$6,HKI!$R29=""),"",HKI!$R29)</f>
        <v/>
      </c>
      <c r="Q29" s="174" t="str">
        <f t="shared" si="2"/>
        <v/>
      </c>
    </row>
    <row r="30" spans="1:17" ht="18" customHeight="1">
      <c r="A30" s="123">
        <f>IF(OR($C$6="",$I$6="",$L$6=""),"",IF($B30="","",SUBTOTAL(3,$B$11:B30)))</f>
        <v>20</v>
      </c>
      <c r="B30" s="151" t="str">
        <f>IF(OR($C$6="",$I$6="",$L$6=""),"",IF(HKI!$B30="","",HKI!$B30))</f>
        <v>13D301Đ181</v>
      </c>
      <c r="C30" s="26" t="str">
        <f>IF(OR($C$6="",$I$6=""),"",IF(HKI!$C30="","",HKI!$C30))</f>
        <v>Lâm Văn</v>
      </c>
      <c r="D30" s="27" t="str">
        <f>IF(OR($C$6="",$I$6=""),"",IF(HKI!$D30="","",HKI!$D30))</f>
        <v>Duy</v>
      </c>
      <c r="E30" s="461"/>
      <c r="F30" s="462">
        <v>4</v>
      </c>
      <c r="G30" s="462">
        <v>5</v>
      </c>
      <c r="H30" s="462"/>
      <c r="I30" s="462"/>
      <c r="J30" s="462"/>
      <c r="K30" s="462"/>
      <c r="L30" s="462">
        <v>6</v>
      </c>
      <c r="M30" s="462">
        <v>4</v>
      </c>
      <c r="N30" s="142">
        <f t="shared" si="1"/>
        <v>4.7</v>
      </c>
      <c r="O30" s="173" t="str">
        <f t="shared" si="0"/>
        <v>TB Yếu</v>
      </c>
      <c r="P30" s="174" t="str">
        <f>IF(OR($B30="",$C$6&lt;&gt;HKI!$P$6,HKI!$R30=""),"",HKI!$R30)</f>
        <v/>
      </c>
      <c r="Q30" s="174" t="str">
        <f t="shared" si="2"/>
        <v/>
      </c>
    </row>
    <row r="31" spans="1:17" ht="18" customHeight="1">
      <c r="A31" s="123">
        <f>IF(OR($C$6="",$I$6="",$L$6=""),"",IF($B31="","",SUBTOTAL(3,$B$11:B31)))</f>
        <v>21</v>
      </c>
      <c r="B31" s="151" t="str">
        <f>IF(OR($C$6="",$I$6="",$L$6=""),"",IF(HKI!$B31="","",HKI!$B31))</f>
        <v>13D301Đ041</v>
      </c>
      <c r="C31" s="26" t="str">
        <f>IF(OR($C$6="",$I$6=""),"",IF(HKI!$C31="","",HKI!$C31))</f>
        <v>Lê Hoàng</v>
      </c>
      <c r="D31" s="27" t="str">
        <f>IF(OR($C$6="",$I$6=""),"",IF(HKI!$D31="","",HKI!$D31))</f>
        <v>Giang</v>
      </c>
      <c r="E31" s="461"/>
      <c r="F31" s="462">
        <v>7</v>
      </c>
      <c r="G31" s="462">
        <v>6.5</v>
      </c>
      <c r="H31" s="462"/>
      <c r="I31" s="462"/>
      <c r="J31" s="462"/>
      <c r="K31" s="462"/>
      <c r="L31" s="462">
        <v>5</v>
      </c>
      <c r="M31" s="462">
        <v>3.8</v>
      </c>
      <c r="N31" s="142">
        <f t="shared" si="1"/>
        <v>4.8</v>
      </c>
      <c r="O31" s="173" t="str">
        <f t="shared" si="0"/>
        <v>TB Yếu</v>
      </c>
      <c r="P31" s="174" t="str">
        <f>IF(OR($B31="",$C$6&lt;&gt;HKI!$P$6,HKI!$R31=""),"",HKI!$R31)</f>
        <v/>
      </c>
      <c r="Q31" s="174" t="str">
        <f t="shared" si="2"/>
        <v/>
      </c>
    </row>
    <row r="32" spans="1:17" ht="18" customHeight="1">
      <c r="A32" s="123">
        <f>IF(OR($C$6="",$I$6="",$L$6=""),"",IF($B32="","",SUBTOTAL(3,$B$11:B32)))</f>
        <v>22</v>
      </c>
      <c r="B32" s="151" t="str">
        <f>IF(OR($C$6="",$I$6="",$L$6=""),"",IF(HKI!$B32="","",HKI!$B32))</f>
        <v>13D301Đ045</v>
      </c>
      <c r="C32" s="26" t="str">
        <f>IF(OR($C$6="",$I$6=""),"",IF(HKI!$C32="","",HKI!$C32))</f>
        <v>Lê Công</v>
      </c>
      <c r="D32" s="27" t="str">
        <f>IF(OR($C$6="",$I$6=""),"",IF(HKI!$D32="","",HKI!$D32))</f>
        <v>Hậu</v>
      </c>
      <c r="E32" s="461"/>
      <c r="F32" s="462">
        <v>6</v>
      </c>
      <c r="G32" s="462">
        <v>6</v>
      </c>
      <c r="H32" s="462"/>
      <c r="I32" s="462"/>
      <c r="J32" s="462"/>
      <c r="K32" s="462"/>
      <c r="L32" s="462">
        <v>6</v>
      </c>
      <c r="M32" s="462">
        <v>7</v>
      </c>
      <c r="N32" s="142">
        <f t="shared" si="1"/>
        <v>6.5</v>
      </c>
      <c r="O32" s="173" t="str">
        <f t="shared" si="0"/>
        <v>T.Bình</v>
      </c>
      <c r="P32" s="174" t="str">
        <f>IF(OR($B32="",$C$6&lt;&gt;HKI!$P$6,HKI!$R32=""),"",HKI!$R32)</f>
        <v/>
      </c>
      <c r="Q32" s="174" t="str">
        <f t="shared" si="2"/>
        <v/>
      </c>
    </row>
    <row r="33" spans="1:17" ht="18" customHeight="1">
      <c r="A33" s="123">
        <f>IF(OR($C$6="",$I$6="",$L$6=""),"",IF($B33="","",SUBTOTAL(3,$B$11:B33)))</f>
        <v>23</v>
      </c>
      <c r="B33" s="151" t="str">
        <f>IF(OR($C$6="",$I$6="",$L$6=""),"",IF(HKI!$B33="","",HKI!$B33))</f>
        <v>13D301Đ048</v>
      </c>
      <c r="C33" s="26" t="str">
        <f>IF(OR($C$6="",$I$6=""),"",IF(HKI!$C33="","",HKI!$C33))</f>
        <v>Hồ Văn</v>
      </c>
      <c r="D33" s="27" t="str">
        <f>IF(OR($C$6="",$I$6=""),"",IF(HKI!$D33="","",HKI!$D33))</f>
        <v>Hiệp</v>
      </c>
      <c r="E33" s="461"/>
      <c r="F33" s="462">
        <v>7</v>
      </c>
      <c r="G33" s="462">
        <v>7</v>
      </c>
      <c r="H33" s="462"/>
      <c r="I33" s="462"/>
      <c r="J33" s="462"/>
      <c r="K33" s="462"/>
      <c r="L33" s="462">
        <v>6</v>
      </c>
      <c r="M33" s="462">
        <v>7.3</v>
      </c>
      <c r="N33" s="142">
        <f t="shared" si="1"/>
        <v>6.9</v>
      </c>
      <c r="O33" s="173" t="str">
        <f t="shared" si="0"/>
        <v>T.Bình</v>
      </c>
      <c r="P33" s="174" t="str">
        <f>IF(OR($B33="",$C$6&lt;&gt;HKI!$P$6,HKI!$R33=""),"",HKI!$R33)</f>
        <v/>
      </c>
      <c r="Q33" s="174" t="str">
        <f t="shared" si="2"/>
        <v/>
      </c>
    </row>
    <row r="34" spans="1:17" ht="18" customHeight="1">
      <c r="A34" s="123">
        <f>IF(OR($C$6="",$I$6="",$L$6=""),"",IF($B34="","",SUBTOTAL(3,$B$11:B34)))</f>
        <v>24</v>
      </c>
      <c r="B34" s="151" t="str">
        <f>IF(OR($C$6="",$I$6="",$L$6=""),"",IF(HKI!$B34="","",HKI!$B34))</f>
        <v>13D301Đ049</v>
      </c>
      <c r="C34" s="26" t="str">
        <f>IF(OR($C$6="",$I$6=""),"",IF(HKI!$C34="","",HKI!$C34))</f>
        <v>Lê Minh</v>
      </c>
      <c r="D34" s="27" t="str">
        <f>IF(OR($C$6="",$I$6=""),"",IF(HKI!$D34="","",HKI!$D34))</f>
        <v>Hiếu</v>
      </c>
      <c r="E34" s="461"/>
      <c r="F34" s="462">
        <v>4</v>
      </c>
      <c r="G34" s="462">
        <v>4.5</v>
      </c>
      <c r="H34" s="462"/>
      <c r="I34" s="462"/>
      <c r="J34" s="462"/>
      <c r="K34" s="462"/>
      <c r="L34" s="462">
        <v>6</v>
      </c>
      <c r="M34" s="462">
        <v>2.5</v>
      </c>
      <c r="N34" s="142">
        <f t="shared" si="1"/>
        <v>3.9</v>
      </c>
      <c r="O34" s="173" t="str">
        <f t="shared" si="0"/>
        <v>Kém</v>
      </c>
      <c r="P34" s="174" t="str">
        <f>IF(OR($B34="",$C$6&lt;&gt;HKI!$P$6,HKI!$R34=""),"",HKI!$R34)</f>
        <v/>
      </c>
      <c r="Q34" s="174" t="str">
        <f t="shared" si="2"/>
        <v/>
      </c>
    </row>
    <row r="35" spans="1:17" ht="18" customHeight="1">
      <c r="A35" s="123">
        <f>IF(OR($C$6="",$I$6="",$L$6=""),"",IF($B35="","",SUBTOTAL(3,$B$11:B35)))</f>
        <v>25</v>
      </c>
      <c r="B35" s="151" t="str">
        <f>IF(OR($C$6="",$I$6="",$L$6=""),"",IF(HKI!$B35="","",HKI!$B35))</f>
        <v>13D301Đ053</v>
      </c>
      <c r="C35" s="26" t="str">
        <f>IF(OR($C$6="",$I$6=""),"",IF(HKI!$C35="","",HKI!$C35))</f>
        <v>Nguyễn Ngọc</v>
      </c>
      <c r="D35" s="27" t="str">
        <f>IF(OR($C$6="",$I$6=""),"",IF(HKI!$D35="","",HKI!$D35))</f>
        <v>Hoài</v>
      </c>
      <c r="E35" s="461"/>
      <c r="F35" s="462">
        <v>7</v>
      </c>
      <c r="G35" s="462">
        <v>7</v>
      </c>
      <c r="H35" s="462"/>
      <c r="I35" s="462"/>
      <c r="J35" s="462"/>
      <c r="K35" s="462"/>
      <c r="L35" s="462">
        <v>6</v>
      </c>
      <c r="M35" s="462">
        <v>5.5</v>
      </c>
      <c r="N35" s="142">
        <f t="shared" si="1"/>
        <v>6</v>
      </c>
      <c r="O35" s="173" t="str">
        <f t="shared" si="0"/>
        <v>T.Bình</v>
      </c>
      <c r="P35" s="174" t="str">
        <f>IF(OR($B35="",$C$6&lt;&gt;HKI!$P$6,HKI!$R35=""),"",HKI!$R35)</f>
        <v/>
      </c>
      <c r="Q35" s="174" t="str">
        <f t="shared" si="2"/>
        <v/>
      </c>
    </row>
    <row r="36" spans="1:17" ht="18" customHeight="1">
      <c r="A36" s="123">
        <f>IF(OR($C$6="",$I$6="",$L$6=""),"",IF($B36="","",SUBTOTAL(3,$B$11:B36)))</f>
        <v>26</v>
      </c>
      <c r="B36" s="151" t="str">
        <f>IF(OR($C$6="",$I$6="",$L$6=""),"",IF(HKI!$B36="","",HKI!$B36))</f>
        <v>13D301Đ056</v>
      </c>
      <c r="C36" s="26" t="str">
        <f>IF(OR($C$6="",$I$6=""),"",IF(HKI!$C36="","",HKI!$C36))</f>
        <v>Trần Huy</v>
      </c>
      <c r="D36" s="27" t="str">
        <f>IF(OR($C$6="",$I$6=""),"",IF(HKI!$D36="","",HKI!$D36))</f>
        <v>Hoàng</v>
      </c>
      <c r="E36" s="461"/>
      <c r="F36" s="462">
        <v>4</v>
      </c>
      <c r="G36" s="462">
        <v>5.5</v>
      </c>
      <c r="H36" s="462"/>
      <c r="I36" s="462"/>
      <c r="J36" s="462"/>
      <c r="K36" s="462"/>
      <c r="L36" s="462">
        <v>6</v>
      </c>
      <c r="M36" s="462">
        <v>5.3</v>
      </c>
      <c r="N36" s="142">
        <f t="shared" si="1"/>
        <v>5.4</v>
      </c>
      <c r="O36" s="173" t="str">
        <f t="shared" si="0"/>
        <v>TB Yếu</v>
      </c>
      <c r="P36" s="174" t="str">
        <f>IF(OR($B36="",$C$6&lt;&gt;HKI!$P$6,HKI!$R36=""),"",HKI!$R36)</f>
        <v/>
      </c>
      <c r="Q36" s="174" t="str">
        <f t="shared" si="2"/>
        <v/>
      </c>
    </row>
    <row r="37" spans="1:17" ht="18" customHeight="1">
      <c r="A37" s="123">
        <f>IF(OR($C$6="",$I$6="",$L$6=""),"",IF($B37="","",SUBTOTAL(3,$B$11:B37)))</f>
        <v>27</v>
      </c>
      <c r="B37" s="151" t="str">
        <f>IF(OR($C$6="",$I$6="",$L$6=""),"",IF(HKI!$B37="","",HKI!$B37))</f>
        <v>13D301Đ057</v>
      </c>
      <c r="C37" s="26" t="str">
        <f>IF(OR($C$6="",$I$6=""),"",IF(HKI!$C37="","",HKI!$C37))</f>
        <v>Trịnh Thanh</v>
      </c>
      <c r="D37" s="27" t="str">
        <f>IF(OR($C$6="",$I$6=""),"",IF(HKI!$D37="","",HKI!$D37))</f>
        <v>Hoàng</v>
      </c>
      <c r="E37" s="461"/>
      <c r="F37" s="462">
        <v>7</v>
      </c>
      <c r="G37" s="462">
        <v>7</v>
      </c>
      <c r="H37" s="462"/>
      <c r="I37" s="462"/>
      <c r="J37" s="462"/>
      <c r="K37" s="462"/>
      <c r="L37" s="462">
        <v>6</v>
      </c>
      <c r="M37" s="462">
        <v>5.3</v>
      </c>
      <c r="N37" s="142">
        <f t="shared" si="1"/>
        <v>5.9</v>
      </c>
      <c r="O37" s="173" t="str">
        <f t="shared" si="0"/>
        <v>T.Bình</v>
      </c>
      <c r="P37" s="174" t="str">
        <f>IF(OR($B37="",$C$6&lt;&gt;HKI!$P$6,HKI!$R37=""),"",HKI!$R37)</f>
        <v/>
      </c>
      <c r="Q37" s="174" t="str">
        <f t="shared" si="2"/>
        <v/>
      </c>
    </row>
    <row r="38" spans="1:17" ht="18" customHeight="1">
      <c r="A38" s="123">
        <f>IF(OR($C$6="",$I$6="",$L$6=""),"",IF($B38="","",SUBTOTAL(3,$B$11:B38)))</f>
        <v>28</v>
      </c>
      <c r="B38" s="151" t="str">
        <f>IF(OR($C$6="",$I$6="",$L$6=""),"",IF(HKI!$B38="","",HKI!$B38))</f>
        <v>13D301Đ201</v>
      </c>
      <c r="C38" s="26" t="str">
        <f>IF(OR($C$6="",$I$6=""),"",IF(HKI!$C38="","",HKI!$C38))</f>
        <v>Nguyễn Quang</v>
      </c>
      <c r="D38" s="27" t="str">
        <f>IF(OR($C$6="",$I$6=""),"",IF(HKI!$D38="","",HKI!$D38))</f>
        <v>Huân</v>
      </c>
      <c r="E38" s="461"/>
      <c r="F38" s="462">
        <v>0</v>
      </c>
      <c r="G38" s="462">
        <v>0</v>
      </c>
      <c r="H38" s="462"/>
      <c r="I38" s="462"/>
      <c r="J38" s="462"/>
      <c r="K38" s="462"/>
      <c r="L38" s="462">
        <v>0</v>
      </c>
      <c r="M38" s="462">
        <v>0</v>
      </c>
      <c r="N38" s="142">
        <f t="shared" si="1"/>
        <v>0</v>
      </c>
      <c r="O38" s="173" t="str">
        <f t="shared" si="0"/>
        <v>Kém</v>
      </c>
      <c r="P38" s="174" t="str">
        <f>IF(OR($B38="",$C$6&lt;&gt;HKI!$P$6,HKI!$R38=""),"",HKI!$R38)</f>
        <v/>
      </c>
      <c r="Q38" s="174" t="str">
        <f t="shared" si="2"/>
        <v/>
      </c>
    </row>
    <row r="39" spans="1:17" ht="18" customHeight="1">
      <c r="A39" s="123">
        <f>IF(OR($C$6="",$I$6="",$L$6=""),"",IF($B39="","",SUBTOTAL(3,$B$11:B39)))</f>
        <v>29</v>
      </c>
      <c r="B39" s="151" t="str">
        <f>IF(OR($C$6="",$I$6="",$L$6=""),"",IF(HKI!$B39="","",HKI!$B39))</f>
        <v>13D301Đ061</v>
      </c>
      <c r="C39" s="26" t="str">
        <f>IF(OR($C$6="",$I$6=""),"",IF(HKI!$C39="","",HKI!$C39))</f>
        <v>Huỳnh Thanh</v>
      </c>
      <c r="D39" s="27" t="str">
        <f>IF(OR($C$6="",$I$6=""),"",IF(HKI!$D39="","",HKI!$D39))</f>
        <v>Hùng</v>
      </c>
      <c r="E39" s="461"/>
      <c r="F39" s="462">
        <v>4</v>
      </c>
      <c r="G39" s="462">
        <v>5</v>
      </c>
      <c r="H39" s="462"/>
      <c r="I39" s="462"/>
      <c r="J39" s="462"/>
      <c r="K39" s="462"/>
      <c r="L39" s="462">
        <v>5</v>
      </c>
      <c r="M39" s="462">
        <v>4</v>
      </c>
      <c r="N39" s="142">
        <f t="shared" si="1"/>
        <v>4.4000000000000004</v>
      </c>
      <c r="O39" s="173" t="str">
        <f t="shared" si="0"/>
        <v>TB Yếu</v>
      </c>
      <c r="P39" s="174" t="str">
        <f>IF(OR($B39="",$C$6&lt;&gt;HKI!$P$6,HKI!$R39=""),"",HKI!$R39)</f>
        <v/>
      </c>
      <c r="Q39" s="174" t="str">
        <f t="shared" si="2"/>
        <v/>
      </c>
    </row>
    <row r="40" spans="1:17" ht="18" customHeight="1">
      <c r="A40" s="123">
        <f>IF(OR($C$6="",$I$6="",$L$6=""),"",IF($B40="","",SUBTOTAL(3,$B$11:B40)))</f>
        <v>30</v>
      </c>
      <c r="B40" s="151" t="str">
        <f>IF(OR($C$6="",$I$6="",$L$6=""),"",IF(HKI!$B40="","",HKI!$B40))</f>
        <v>13D301Đ065</v>
      </c>
      <c r="C40" s="26" t="str">
        <f>IF(OR($C$6="",$I$6=""),"",IF(HKI!$C40="","",HKI!$C40))</f>
        <v>Đoàn Lê Xuân</v>
      </c>
      <c r="D40" s="27" t="str">
        <f>IF(OR($C$6="",$I$6=""),"",IF(HKI!$D40="","",HKI!$D40))</f>
        <v>Huy</v>
      </c>
      <c r="E40" s="461"/>
      <c r="F40" s="462">
        <v>7</v>
      </c>
      <c r="G40" s="462">
        <v>7</v>
      </c>
      <c r="H40" s="462"/>
      <c r="I40" s="462"/>
      <c r="J40" s="462"/>
      <c r="K40" s="462"/>
      <c r="L40" s="462">
        <v>5</v>
      </c>
      <c r="M40" s="462">
        <v>4.3</v>
      </c>
      <c r="N40" s="142">
        <f t="shared" si="1"/>
        <v>5.0999999999999996</v>
      </c>
      <c r="O40" s="173" t="str">
        <f t="shared" si="0"/>
        <v>TB Yếu</v>
      </c>
      <c r="P40" s="174" t="str">
        <f>IF(OR($B40="",$C$6&lt;&gt;HKI!$P$6,HKI!$R40=""),"",HKI!$R40)</f>
        <v/>
      </c>
      <c r="Q40" s="174" t="str">
        <f t="shared" si="2"/>
        <v/>
      </c>
    </row>
    <row r="41" spans="1:17" ht="18" customHeight="1">
      <c r="A41" s="123">
        <f>IF(OR($C$6="",$I$6="",$L$6=""),"",IF($B41="","",SUBTOTAL(3,$B$11:B41)))</f>
        <v>31</v>
      </c>
      <c r="B41" s="151" t="str">
        <f>IF(OR($C$6="",$I$6="",$L$6=""),"",IF(HKI!$B41="","",HKI!$B41))</f>
        <v>13D301Đ073</v>
      </c>
      <c r="C41" s="26" t="str">
        <f>IF(OR($C$6="",$I$6=""),"",IF(HKI!$C41="","",HKI!$C41))</f>
        <v>Trịnh Đại</v>
      </c>
      <c r="D41" s="27" t="str">
        <f>IF(OR($C$6="",$I$6=""),"",IF(HKI!$D41="","",HKI!$D41))</f>
        <v>Lăng</v>
      </c>
      <c r="E41" s="461"/>
      <c r="F41" s="462">
        <v>6</v>
      </c>
      <c r="G41" s="462">
        <v>6</v>
      </c>
      <c r="H41" s="462"/>
      <c r="I41" s="462"/>
      <c r="J41" s="462"/>
      <c r="K41" s="462"/>
      <c r="L41" s="462">
        <v>5</v>
      </c>
      <c r="M41" s="462">
        <v>5.8</v>
      </c>
      <c r="N41" s="142">
        <f t="shared" si="1"/>
        <v>5.6</v>
      </c>
      <c r="O41" s="173" t="str">
        <f t="shared" si="0"/>
        <v>T.Bình</v>
      </c>
      <c r="P41" s="174" t="str">
        <f>IF(OR($B41="",$C$6&lt;&gt;HKI!$P$6,HKI!$R41=""),"",HKI!$R41)</f>
        <v/>
      </c>
      <c r="Q41" s="174" t="str">
        <f t="shared" si="2"/>
        <v/>
      </c>
    </row>
    <row r="42" spans="1:17" ht="18" customHeight="1">
      <c r="A42" s="123">
        <f>IF(OR($C$6="",$I$6="",$L$6=""),"",IF($B42="","",SUBTOTAL(3,$B$11:B42)))</f>
        <v>32</v>
      </c>
      <c r="B42" s="151" t="str">
        <f>IF(OR($C$6="",$I$6="",$L$6=""),"",IF(HKI!$B42="","",HKI!$B42))</f>
        <v>13D301Đ204</v>
      </c>
      <c r="C42" s="26" t="str">
        <f>IF(OR($C$6="",$I$6=""),"",IF(HKI!$C42="","",HKI!$C42))</f>
        <v>Nguyễn Khánh</v>
      </c>
      <c r="D42" s="27" t="str">
        <f>IF(OR($C$6="",$I$6=""),"",IF(HKI!$D42="","",HKI!$D42))</f>
        <v>Linh</v>
      </c>
      <c r="E42" s="461"/>
      <c r="F42" s="462">
        <v>7</v>
      </c>
      <c r="G42" s="462">
        <v>7</v>
      </c>
      <c r="H42" s="462"/>
      <c r="I42" s="462"/>
      <c r="J42" s="462"/>
      <c r="K42" s="462"/>
      <c r="L42" s="462">
        <v>5</v>
      </c>
      <c r="M42" s="462">
        <v>4.8</v>
      </c>
      <c r="N42" s="142">
        <f t="shared" si="1"/>
        <v>5.3</v>
      </c>
      <c r="O42" s="173" t="str">
        <f t="shared" si="0"/>
        <v>TB Yếu</v>
      </c>
      <c r="P42" s="174" t="str">
        <f>IF(OR($B42="",$C$6&lt;&gt;HKI!$P$6,HKI!$R42=""),"",HKI!$R42)</f>
        <v/>
      </c>
      <c r="Q42" s="174" t="str">
        <f t="shared" si="2"/>
        <v/>
      </c>
    </row>
    <row r="43" spans="1:17" ht="18" customHeight="1">
      <c r="A43" s="123">
        <f>IF(OR($C$6="",$I$6="",$L$6=""),"",IF($B43="","",SUBTOTAL(3,$B$11:B43)))</f>
        <v>33</v>
      </c>
      <c r="B43" s="151" t="str">
        <f>IF(OR($C$6="",$I$6="",$L$6=""),"",IF(HKI!$B43="","",HKI!$B43))</f>
        <v>13D301Đ162</v>
      </c>
      <c r="C43" s="26" t="str">
        <f>IF(OR($C$6="",$I$6=""),"",IF(HKI!$C43="","",HKI!$C43))</f>
        <v>Đỗ Văn</v>
      </c>
      <c r="D43" s="27" t="str">
        <f>IF(OR($C$6="",$I$6=""),"",IF(HKI!$D43="","",HKI!$D43))</f>
        <v>Lượng</v>
      </c>
      <c r="E43" s="461"/>
      <c r="F43" s="462">
        <v>7</v>
      </c>
      <c r="G43" s="462">
        <v>7</v>
      </c>
      <c r="H43" s="462"/>
      <c r="I43" s="462"/>
      <c r="J43" s="462"/>
      <c r="K43" s="462"/>
      <c r="L43" s="462">
        <v>5</v>
      </c>
      <c r="M43" s="462">
        <v>2.2999999999999998</v>
      </c>
      <c r="N43" s="142">
        <f t="shared" si="1"/>
        <v>4.0999999999999996</v>
      </c>
      <c r="O43" s="173" t="str">
        <f t="shared" si="0"/>
        <v>TB Yếu</v>
      </c>
      <c r="P43" s="174" t="str">
        <f>IF(OR($B43="",$C$6&lt;&gt;HKI!$P$6,HKI!$R43=""),"",HKI!$R43)</f>
        <v/>
      </c>
      <c r="Q43" s="174" t="str">
        <f t="shared" si="2"/>
        <v/>
      </c>
    </row>
    <row r="44" spans="1:17" ht="18" customHeight="1">
      <c r="A44" s="123">
        <f>IF(OR($C$6="",$I$6="",$L$6=""),"",IF($B44="","",SUBTOTAL(3,$B$11:B44)))</f>
        <v>34</v>
      </c>
      <c r="B44" s="151" t="str">
        <f>IF(OR($C$6="",$I$6="",$L$6=""),"",IF(HKI!$B44="","",HKI!$B44))</f>
        <v>13D301Đ081</v>
      </c>
      <c r="C44" s="26" t="str">
        <f>IF(OR($C$6="",$I$6=""),"",IF(HKI!$C44="","",HKI!$C44))</f>
        <v>Mai Đình</v>
      </c>
      <c r="D44" s="27" t="str">
        <f>IF(OR($C$6="",$I$6=""),"",IF(HKI!$D44="","",HKI!$D44))</f>
        <v>Luyện</v>
      </c>
      <c r="E44" s="461"/>
      <c r="F44" s="462">
        <v>5</v>
      </c>
      <c r="G44" s="462">
        <v>5</v>
      </c>
      <c r="H44" s="462"/>
      <c r="I44" s="462"/>
      <c r="J44" s="462"/>
      <c r="K44" s="462"/>
      <c r="L44" s="462">
        <v>5</v>
      </c>
      <c r="M44" s="462">
        <v>4.8</v>
      </c>
      <c r="N44" s="142">
        <f t="shared" si="1"/>
        <v>4.9000000000000004</v>
      </c>
      <c r="O44" s="173" t="str">
        <f t="shared" si="0"/>
        <v>TB Yếu</v>
      </c>
      <c r="P44" s="174" t="str">
        <f>IF(OR($B44="",$C$6&lt;&gt;HKI!$P$6,HKI!$R44=""),"",HKI!$R44)</f>
        <v/>
      </c>
      <c r="Q44" s="174" t="str">
        <f t="shared" si="2"/>
        <v/>
      </c>
    </row>
    <row r="45" spans="1:17" ht="18" customHeight="1">
      <c r="A45" s="123">
        <f>IF(OR($C$6="",$I$6="",$L$6=""),"",IF($B45="","",SUBTOTAL(3,$B$11:B45)))</f>
        <v>35</v>
      </c>
      <c r="B45" s="151" t="str">
        <f>IF(OR($C$6="",$I$6="",$L$6=""),"",IF(HKI!$B45="","",HKI!$B45))</f>
        <v>13D301Đ085</v>
      </c>
      <c r="C45" s="26" t="str">
        <f>IF(OR($C$6="",$I$6=""),"",IF(HKI!$C45="","",HKI!$C45))</f>
        <v>Võ Hoài</v>
      </c>
      <c r="D45" s="27" t="str">
        <f>IF(OR($C$6="",$I$6=""),"",IF(HKI!$D45="","",HKI!$D45))</f>
        <v>Nam</v>
      </c>
      <c r="E45" s="461"/>
      <c r="F45" s="462">
        <v>6</v>
      </c>
      <c r="G45" s="462">
        <v>6</v>
      </c>
      <c r="H45" s="462"/>
      <c r="I45" s="462"/>
      <c r="J45" s="462"/>
      <c r="K45" s="462"/>
      <c r="L45" s="462">
        <v>5</v>
      </c>
      <c r="M45" s="462">
        <v>4.5</v>
      </c>
      <c r="N45" s="142">
        <f t="shared" si="1"/>
        <v>5</v>
      </c>
      <c r="O45" s="173" t="str">
        <f t="shared" si="0"/>
        <v>TB Yếu</v>
      </c>
      <c r="P45" s="174" t="str">
        <f>IF(OR($B45="",$C$6&lt;&gt;HKI!$P$6,HKI!$R45=""),"",HKI!$R45)</f>
        <v/>
      </c>
      <c r="Q45" s="174" t="str">
        <f t="shared" si="2"/>
        <v/>
      </c>
    </row>
    <row r="46" spans="1:17" ht="18" customHeight="1">
      <c r="A46" s="123">
        <f>IF(OR($C$6="",$I$6="",$L$6=""),"",IF($B46="","",SUBTOTAL(3,$B$11:B46)))</f>
        <v>36</v>
      </c>
      <c r="B46" s="151" t="str">
        <f>IF(OR($C$6="",$I$6="",$L$6=""),"",IF(HKI!$B46="","",HKI!$B46))</f>
        <v>13D301Đ089</v>
      </c>
      <c r="C46" s="26" t="str">
        <f>IF(OR($C$6="",$I$6=""),"",IF(HKI!$C46="","",HKI!$C46))</f>
        <v>Nguyễn Hữu</v>
      </c>
      <c r="D46" s="27" t="str">
        <f>IF(OR($C$6="",$I$6=""),"",IF(HKI!$D46="","",HKI!$D46))</f>
        <v>Nghĩa</v>
      </c>
      <c r="E46" s="461"/>
      <c r="F46" s="462">
        <v>6</v>
      </c>
      <c r="G46" s="462">
        <v>6</v>
      </c>
      <c r="H46" s="462"/>
      <c r="I46" s="462"/>
      <c r="J46" s="462"/>
      <c r="K46" s="462"/>
      <c r="L46" s="462">
        <v>5</v>
      </c>
      <c r="M46" s="462">
        <v>4</v>
      </c>
      <c r="N46" s="142">
        <f t="shared" si="1"/>
        <v>4.7</v>
      </c>
      <c r="O46" s="173" t="str">
        <f t="shared" si="0"/>
        <v>TB Yếu</v>
      </c>
      <c r="P46" s="174" t="str">
        <f>IF(OR($B46="",$C$6&lt;&gt;HKI!$P$6,HKI!$R46=""),"",HKI!$R46)</f>
        <v/>
      </c>
      <c r="Q46" s="174" t="str">
        <f t="shared" si="2"/>
        <v/>
      </c>
    </row>
    <row r="47" spans="1:17" ht="18" customHeight="1">
      <c r="A47" s="123">
        <f>IF(OR($C$6="",$I$6="",$L$6=""),"",IF($B47="","",SUBTOTAL(3,$B$11:B47)))</f>
        <v>37</v>
      </c>
      <c r="B47" s="151" t="str">
        <f>IF(OR($C$6="",$I$6="",$L$6=""),"",IF(HKI!$B47="","",HKI!$B47))</f>
        <v>13D301Đ097</v>
      </c>
      <c r="C47" s="26" t="str">
        <f>IF(OR($C$6="",$I$6=""),"",IF(HKI!$C47="","",HKI!$C47))</f>
        <v>Nguyễn Thành</v>
      </c>
      <c r="D47" s="27" t="str">
        <f>IF(OR($C$6="",$I$6=""),"",IF(HKI!$D47="","",HKI!$D47))</f>
        <v>Phát</v>
      </c>
      <c r="E47" s="461"/>
      <c r="F47" s="462">
        <v>4</v>
      </c>
      <c r="G47" s="462">
        <v>5.5</v>
      </c>
      <c r="H47" s="462"/>
      <c r="I47" s="462"/>
      <c r="J47" s="462"/>
      <c r="K47" s="462"/>
      <c r="L47" s="462">
        <v>6</v>
      </c>
      <c r="M47" s="462">
        <v>5.5</v>
      </c>
      <c r="N47" s="142">
        <f t="shared" si="1"/>
        <v>5.5</v>
      </c>
      <c r="O47" s="173" t="str">
        <f t="shared" si="0"/>
        <v>T.Bình</v>
      </c>
      <c r="P47" s="174" t="str">
        <f>IF(OR($B47="",$C$6&lt;&gt;HKI!$P$6,HKI!$R47=""),"",HKI!$R47)</f>
        <v/>
      </c>
      <c r="Q47" s="174" t="str">
        <f t="shared" si="2"/>
        <v/>
      </c>
    </row>
    <row r="48" spans="1:17" ht="18" customHeight="1">
      <c r="A48" s="123">
        <f>IF(OR($C$6="",$I$6="",$L$6=""),"",IF($B48="","",SUBTOTAL(3,$B$11:B48)))</f>
        <v>38</v>
      </c>
      <c r="B48" s="151" t="str">
        <f>IF(OR($C$6="",$I$6="",$L$6=""),"",IF(HKI!$B48="","",HKI!$B48))</f>
        <v>13D301Đ101</v>
      </c>
      <c r="C48" s="26" t="str">
        <f>IF(OR($C$6="",$I$6=""),"",IF(HKI!$C48="","",HKI!$C48))</f>
        <v>Huỳnh Thanh</v>
      </c>
      <c r="D48" s="27" t="str">
        <f>IF(OR($C$6="",$I$6=""),"",IF(HKI!$D48="","",HKI!$D48))</f>
        <v>Phú</v>
      </c>
      <c r="E48" s="461"/>
      <c r="F48" s="462">
        <v>0</v>
      </c>
      <c r="G48" s="462">
        <v>0</v>
      </c>
      <c r="H48" s="462"/>
      <c r="I48" s="462"/>
      <c r="J48" s="462"/>
      <c r="K48" s="462"/>
      <c r="L48" s="462">
        <v>0</v>
      </c>
      <c r="M48" s="462">
        <v>0</v>
      </c>
      <c r="N48" s="142">
        <f t="shared" si="1"/>
        <v>0</v>
      </c>
      <c r="O48" s="173" t="str">
        <f t="shared" si="0"/>
        <v>Kém</v>
      </c>
      <c r="P48" s="174" t="str">
        <f>IF(OR($B48="",$C$6&lt;&gt;HKI!$P$6,HKI!$R48=""),"",HKI!$R48)</f>
        <v/>
      </c>
      <c r="Q48" s="174" t="str">
        <f t="shared" si="2"/>
        <v/>
      </c>
    </row>
    <row r="49" spans="1:17" ht="18" customHeight="1">
      <c r="A49" s="123">
        <f>IF(OR($C$6="",$I$6="",$L$6=""),"",IF($B49="","",SUBTOTAL(3,$B$11:B49)))</f>
        <v>39</v>
      </c>
      <c r="B49" s="151" t="str">
        <f>IF(OR($C$6="",$I$6="",$L$6=""),"",IF(HKI!$B49="","",HKI!$B49))</f>
        <v>13D301Đ117</v>
      </c>
      <c r="C49" s="26" t="str">
        <f>IF(OR($C$6="",$I$6=""),"",IF(HKI!$C49="","",HKI!$C49))</f>
        <v>Trịnh Ngọc</v>
      </c>
      <c r="D49" s="27" t="str">
        <f>IF(OR($C$6="",$I$6=""),"",IF(HKI!$D49="","",HKI!$D49))</f>
        <v>Sơn</v>
      </c>
      <c r="E49" s="461"/>
      <c r="F49" s="462">
        <v>0</v>
      </c>
      <c r="G49" s="462">
        <v>0</v>
      </c>
      <c r="H49" s="462"/>
      <c r="I49" s="462"/>
      <c r="J49" s="462"/>
      <c r="K49" s="462"/>
      <c r="L49" s="462">
        <v>0</v>
      </c>
      <c r="M49" s="462">
        <v>0</v>
      </c>
      <c r="N49" s="142">
        <f t="shared" si="1"/>
        <v>0</v>
      </c>
      <c r="O49" s="173" t="str">
        <f t="shared" si="0"/>
        <v>Kém</v>
      </c>
      <c r="P49" s="174" t="str">
        <f>IF(OR($B49="",$C$6&lt;&gt;HKI!$P$6,HKI!$R49=""),"",HKI!$R49)</f>
        <v/>
      </c>
      <c r="Q49" s="174" t="str">
        <f t="shared" si="2"/>
        <v/>
      </c>
    </row>
    <row r="50" spans="1:17" ht="18" customHeight="1">
      <c r="A50" s="123">
        <f>IF(OR($C$6="",$I$6="",$L$6=""),"",IF($B50="","",SUBTOTAL(3,$B$11:B50)))</f>
        <v>40</v>
      </c>
      <c r="B50" s="151" t="str">
        <f>IF(OR($C$6="",$I$6="",$L$6=""),"",IF(HKI!$B50="","",HKI!$B50))</f>
        <v>13D301Đ121</v>
      </c>
      <c r="C50" s="26" t="str">
        <f>IF(OR($C$6="",$I$6=""),"",IF(HKI!$C50="","",HKI!$C50))</f>
        <v>Lê Minh</v>
      </c>
      <c r="D50" s="27" t="str">
        <f>IF(OR($C$6="",$I$6=""),"",IF(HKI!$D50="","",HKI!$D50))</f>
        <v>Tâm</v>
      </c>
      <c r="E50" s="461"/>
      <c r="F50" s="462">
        <v>5</v>
      </c>
      <c r="G50" s="462">
        <v>5</v>
      </c>
      <c r="H50" s="462"/>
      <c r="I50" s="462"/>
      <c r="J50" s="462"/>
      <c r="K50" s="462"/>
      <c r="L50" s="462">
        <v>5</v>
      </c>
      <c r="M50" s="462">
        <v>5.3</v>
      </c>
      <c r="N50" s="142">
        <f t="shared" si="1"/>
        <v>5.2</v>
      </c>
      <c r="O50" s="173" t="str">
        <f t="shared" si="0"/>
        <v>TB Yếu</v>
      </c>
      <c r="P50" s="174" t="str">
        <f>IF(OR($B50="",$C$6&lt;&gt;HKI!$P$6,HKI!$R50=""),"",HKI!$R50)</f>
        <v/>
      </c>
      <c r="Q50" s="174" t="str">
        <f t="shared" si="2"/>
        <v/>
      </c>
    </row>
    <row r="51" spans="1:17" ht="18" customHeight="1">
      <c r="A51" s="123">
        <f>IF(OR($C$6="",$I$6="",$L$6=""),"",IF($B51="","",SUBTOTAL(3,$B$11:B51)))</f>
        <v>41</v>
      </c>
      <c r="B51" s="151" t="str">
        <f>IF(OR($C$6="",$I$6="",$L$6=""),"",IF(HKI!$B51="","",HKI!$B51))</f>
        <v>13D301Đ124</v>
      </c>
      <c r="C51" s="26" t="str">
        <f>IF(OR($C$6="",$I$6=""),"",IF(HKI!$C51="","",HKI!$C51))</f>
        <v>Cao Nguyễn Nhật</v>
      </c>
      <c r="D51" s="27" t="str">
        <f>IF(OR($C$6="",$I$6=""),"",IF(HKI!$D51="","",HKI!$D51))</f>
        <v>Tân</v>
      </c>
      <c r="E51" s="461"/>
      <c r="F51" s="462">
        <v>7</v>
      </c>
      <c r="G51" s="462">
        <v>7</v>
      </c>
      <c r="H51" s="462"/>
      <c r="I51" s="462"/>
      <c r="J51" s="462"/>
      <c r="K51" s="462"/>
      <c r="L51" s="462">
        <v>6</v>
      </c>
      <c r="M51" s="462">
        <v>7</v>
      </c>
      <c r="N51" s="142">
        <f t="shared" si="1"/>
        <v>6.7</v>
      </c>
      <c r="O51" s="173" t="str">
        <f t="shared" si="0"/>
        <v>T.Bình</v>
      </c>
      <c r="P51" s="174" t="str">
        <f>IF(OR($B51="",$C$6&lt;&gt;HKI!$P$6,HKI!$R51=""),"",HKI!$R51)</f>
        <v/>
      </c>
      <c r="Q51" s="174" t="str">
        <f t="shared" si="2"/>
        <v/>
      </c>
    </row>
    <row r="52" spans="1:17" ht="18" customHeight="1">
      <c r="A52" s="123">
        <f>IF(OR($C$6="",$I$6="",$L$6=""),"",IF($B52="","",SUBTOTAL(3,$B$11:B52)))</f>
        <v>42</v>
      </c>
      <c r="B52" s="151" t="str">
        <f>IF(OR($C$6="",$I$6="",$L$6=""),"",IF(HKI!$B52="","",HKI!$B52))</f>
        <v>13D301Đ130</v>
      </c>
      <c r="C52" s="26" t="str">
        <f>IF(OR($C$6="",$I$6=""),"",IF(HKI!$C52="","",HKI!$C52))</f>
        <v>Nguyễn Việt</v>
      </c>
      <c r="D52" s="27" t="str">
        <f>IF(OR($C$6="",$I$6=""),"",IF(HKI!$D52="","",HKI!$D52))</f>
        <v>Thắng</v>
      </c>
      <c r="E52" s="461"/>
      <c r="F52" s="462">
        <v>7</v>
      </c>
      <c r="G52" s="462">
        <v>7</v>
      </c>
      <c r="H52" s="462"/>
      <c r="I52" s="462"/>
      <c r="J52" s="462"/>
      <c r="K52" s="462"/>
      <c r="L52" s="462">
        <v>6</v>
      </c>
      <c r="M52" s="462">
        <v>3.5</v>
      </c>
      <c r="N52" s="142">
        <f t="shared" si="1"/>
        <v>5</v>
      </c>
      <c r="O52" s="173" t="str">
        <f t="shared" si="0"/>
        <v>TB Yếu</v>
      </c>
      <c r="P52" s="174" t="str">
        <f>IF(OR($B52="",$C$6&lt;&gt;HKI!$P$6,HKI!$R52=""),"",HKI!$R52)</f>
        <v/>
      </c>
      <c r="Q52" s="174" t="str">
        <f t="shared" si="2"/>
        <v/>
      </c>
    </row>
    <row r="53" spans="1:17" ht="18" customHeight="1">
      <c r="A53" s="123">
        <f>IF(OR($C$6="",$I$6="",$L$6=""),"",IF($B53="","",SUBTOTAL(3,$B$11:B53)))</f>
        <v>43</v>
      </c>
      <c r="B53" s="151" t="str">
        <f>IF(OR($C$6="",$I$6="",$L$6=""),"",IF(HKI!$B53="","",HKI!$B53))</f>
        <v>13D301Đ136</v>
      </c>
      <c r="C53" s="26" t="str">
        <f>IF(OR($C$6="",$I$6=""),"",IF(HKI!$C53="","",HKI!$C53))</f>
        <v>Trần Minh</v>
      </c>
      <c r="D53" s="27" t="str">
        <f>IF(OR($C$6="",$I$6=""),"",IF(HKI!$D53="","",HKI!$D53))</f>
        <v>Thanh</v>
      </c>
      <c r="E53" s="461"/>
      <c r="F53" s="462">
        <v>8</v>
      </c>
      <c r="G53" s="462">
        <v>8</v>
      </c>
      <c r="H53" s="462"/>
      <c r="I53" s="462"/>
      <c r="J53" s="462"/>
      <c r="K53" s="462"/>
      <c r="L53" s="462">
        <v>7</v>
      </c>
      <c r="M53" s="462">
        <v>6.5</v>
      </c>
      <c r="N53" s="142">
        <f t="shared" si="1"/>
        <v>7</v>
      </c>
      <c r="O53" s="173" t="str">
        <f t="shared" si="0"/>
        <v>Khá</v>
      </c>
      <c r="P53" s="174" t="str">
        <f>IF(OR($B53="",$C$6&lt;&gt;HKI!$P$6,HKI!$R53=""),"",HKI!$R53)</f>
        <v/>
      </c>
      <c r="Q53" s="174" t="str">
        <f t="shared" si="2"/>
        <v/>
      </c>
    </row>
    <row r="54" spans="1:17" ht="18" customHeight="1">
      <c r="A54" s="123">
        <f>IF(OR($C$6="",$I$6="",$L$6=""),"",IF($B54="","",SUBTOTAL(3,$B$11:B54)))</f>
        <v>44</v>
      </c>
      <c r="B54" s="151" t="str">
        <f>IF(OR($C$6="",$I$6="",$L$6=""),"",IF(HKI!$B54="","",HKI!$B54))</f>
        <v>13D301Đ133</v>
      </c>
      <c r="C54" s="26" t="str">
        <f>IF(OR($C$6="",$I$6=""),"",IF(HKI!$C54="","",HKI!$C54))</f>
        <v>Nguyễn Khắc</v>
      </c>
      <c r="D54" s="27" t="str">
        <f>IF(OR($C$6="",$I$6=""),"",IF(HKI!$D54="","",HKI!$D54))</f>
        <v>Thành</v>
      </c>
      <c r="E54" s="461"/>
      <c r="F54" s="462">
        <v>6</v>
      </c>
      <c r="G54" s="462">
        <v>6</v>
      </c>
      <c r="H54" s="462"/>
      <c r="I54" s="462"/>
      <c r="J54" s="462"/>
      <c r="K54" s="462"/>
      <c r="L54" s="462">
        <v>5</v>
      </c>
      <c r="M54" s="462">
        <v>4.3</v>
      </c>
      <c r="N54" s="142">
        <f t="shared" si="1"/>
        <v>4.9000000000000004</v>
      </c>
      <c r="O54" s="173" t="str">
        <f t="shared" si="0"/>
        <v>TB Yếu</v>
      </c>
      <c r="P54" s="174" t="str">
        <f>IF(OR($B54="",$C$6&lt;&gt;HKI!$P$6,HKI!$R54=""),"",HKI!$R54)</f>
        <v/>
      </c>
      <c r="Q54" s="174" t="str">
        <f t="shared" si="2"/>
        <v/>
      </c>
    </row>
    <row r="55" spans="1:17" ht="18" customHeight="1">
      <c r="A55" s="123">
        <f>IF(OR($C$6="",$I$6="",$L$6=""),"",IF($B55="","",SUBTOTAL(3,$B$11:B55)))</f>
        <v>45</v>
      </c>
      <c r="B55" s="151" t="str">
        <f>IF(OR($C$6="",$I$6="",$L$6=""),"",IF(HKI!$B55="","",HKI!$B55))</f>
        <v>13D301Đ169</v>
      </c>
      <c r="C55" s="26" t="str">
        <f>IF(OR($C$6="",$I$6=""),"",IF(HKI!$C55="","",HKI!$C55))</f>
        <v>Nguyễn Thanh</v>
      </c>
      <c r="D55" s="27" t="str">
        <f>IF(OR($C$6="",$I$6=""),"",IF(HKI!$D55="","",HKI!$D55))</f>
        <v>Thảo</v>
      </c>
      <c r="E55" s="461"/>
      <c r="F55" s="462">
        <v>4</v>
      </c>
      <c r="G55" s="462">
        <v>4.5</v>
      </c>
      <c r="H55" s="462"/>
      <c r="I55" s="462"/>
      <c r="J55" s="462"/>
      <c r="K55" s="462"/>
      <c r="L55" s="462">
        <v>5</v>
      </c>
      <c r="M55" s="462">
        <v>5.5</v>
      </c>
      <c r="N55" s="142">
        <f t="shared" si="1"/>
        <v>5.0999999999999996</v>
      </c>
      <c r="O55" s="173" t="str">
        <f t="shared" si="0"/>
        <v>TB Yếu</v>
      </c>
      <c r="P55" s="174" t="str">
        <f>IF(OR($B55="",$C$6&lt;&gt;HKI!$P$6,HKI!$R55=""),"",HKI!$R55)</f>
        <v/>
      </c>
      <c r="Q55" s="174" t="str">
        <f t="shared" si="2"/>
        <v/>
      </c>
    </row>
    <row r="56" spans="1:17" ht="18" customHeight="1">
      <c r="A56" s="123">
        <f>IF(OR($C$6="",$I$6="",$L$6=""),"",IF($B56="","",SUBTOTAL(3,$B$11:B56)))</f>
        <v>46</v>
      </c>
      <c r="B56" s="151" t="str">
        <f>IF(OR($C$6="",$I$6="",$L$6=""),"",IF(HKI!$B56="","",HKI!$B56))</f>
        <v>13D301Đ154</v>
      </c>
      <c r="C56" s="26" t="str">
        <f>IF(OR($C$6="",$I$6=""),"",IF(HKI!$C56="","",HKI!$C56))</f>
        <v>Võ Đức</v>
      </c>
      <c r="D56" s="27" t="str">
        <f>IF(OR($C$6="",$I$6=""),"",IF(HKI!$D56="","",HKI!$D56))</f>
        <v>Trí</v>
      </c>
      <c r="E56" s="461"/>
      <c r="F56" s="462">
        <v>6</v>
      </c>
      <c r="G56" s="462">
        <v>6</v>
      </c>
      <c r="H56" s="462"/>
      <c r="I56" s="462"/>
      <c r="J56" s="462"/>
      <c r="K56" s="462"/>
      <c r="L56" s="462">
        <v>6</v>
      </c>
      <c r="M56" s="462">
        <v>4.3</v>
      </c>
      <c r="N56" s="142">
        <f t="shared" si="1"/>
        <v>5.2</v>
      </c>
      <c r="O56" s="173" t="str">
        <f t="shared" si="0"/>
        <v>TB Yếu</v>
      </c>
      <c r="P56" s="174" t="str">
        <f>IF(OR($B56="",$C$6&lt;&gt;HKI!$P$6,HKI!$R56=""),"",HKI!$R56)</f>
        <v/>
      </c>
      <c r="Q56" s="174" t="str">
        <f t="shared" si="2"/>
        <v/>
      </c>
    </row>
    <row r="57" spans="1:17" s="148" customFormat="1" ht="18" customHeight="1">
      <c r="A57" s="123">
        <f>IF(OR($C$6="",$I$6="",$L$6=""),"",IF($B57="","",SUBTOTAL(3,$B$11:B57)))</f>
        <v>47</v>
      </c>
      <c r="B57" s="151" t="str">
        <f>IF(OR($C$6="",$I$6="",$L$6=""),"",IF(HKI!$B57="","",HKI!$B57))</f>
        <v>13D301Đ160</v>
      </c>
      <c r="C57" s="26" t="str">
        <f>IF(OR($C$6="",$I$6=""),"",IF(HKI!$C57="","",HKI!$C57))</f>
        <v>Nguyễn Bá</v>
      </c>
      <c r="D57" s="27" t="str">
        <f>IF(OR($C$6="",$I$6=""),"",IF(HKI!$D57="","",HKI!$D57))</f>
        <v>Trung</v>
      </c>
      <c r="E57" s="461"/>
      <c r="F57" s="462">
        <v>7</v>
      </c>
      <c r="G57" s="462">
        <v>7</v>
      </c>
      <c r="H57" s="462"/>
      <c r="I57" s="462"/>
      <c r="J57" s="462"/>
      <c r="K57" s="462"/>
      <c r="L57" s="462">
        <v>5</v>
      </c>
      <c r="M57" s="462">
        <v>5.8</v>
      </c>
      <c r="N57" s="142">
        <f t="shared" si="1"/>
        <v>5.8</v>
      </c>
      <c r="O57" s="173" t="str">
        <f t="shared" si="0"/>
        <v>T.Bình</v>
      </c>
      <c r="P57" s="174" t="str">
        <f>IF(OR($B57="",$C$6&lt;&gt;HKI!$P$6,HKI!$R57=""),"",HKI!$R57)</f>
        <v/>
      </c>
      <c r="Q57" s="174" t="str">
        <f t="shared" si="2"/>
        <v/>
      </c>
    </row>
    <row r="58" spans="1:17" s="148" customFormat="1" ht="18" customHeight="1">
      <c r="A58" s="123">
        <f>IF(OR($C$6="",$I$6="",$L$6=""),"",IF($B58="","",SUBTOTAL(3,$B$11:B58)))</f>
        <v>48</v>
      </c>
      <c r="B58" s="151" t="str">
        <f>IF(OR($C$6="",$I$6="",$L$6=""),"",IF(HKI!$B58="","",HKI!$B58))</f>
        <v>13D301Đ163</v>
      </c>
      <c r="C58" s="26" t="str">
        <f>IF(OR($C$6="",$I$6=""),"",IF(HKI!$C58="","",HKI!$C58))</f>
        <v>Mai Ngọc</v>
      </c>
      <c r="D58" s="27" t="str">
        <f>IF(OR($C$6="",$I$6=""),"",IF(HKI!$D58="","",HKI!$D58))</f>
        <v>Trước</v>
      </c>
      <c r="E58" s="461"/>
      <c r="F58" s="462">
        <v>8</v>
      </c>
      <c r="G58" s="462">
        <v>8</v>
      </c>
      <c r="H58" s="462"/>
      <c r="I58" s="462"/>
      <c r="J58" s="462"/>
      <c r="K58" s="462"/>
      <c r="L58" s="462">
        <v>5</v>
      </c>
      <c r="M58" s="462">
        <v>5</v>
      </c>
      <c r="N58" s="142">
        <f t="shared" si="1"/>
        <v>5.6</v>
      </c>
      <c r="O58" s="173" t="str">
        <f t="shared" si="0"/>
        <v>T.Bình</v>
      </c>
      <c r="P58" s="174" t="str">
        <f>IF(OR($B58="",$C$6&lt;&gt;HKI!$P$6,HKI!$R58=""),"",HKI!$R58)</f>
        <v/>
      </c>
      <c r="Q58" s="174" t="str">
        <f t="shared" si="2"/>
        <v/>
      </c>
    </row>
    <row r="59" spans="1:17" ht="18" customHeight="1">
      <c r="A59" s="123">
        <f>IF(OR($C$6="",$I$6="",$L$6=""),"",IF($B59="","",SUBTOTAL(3,$B$11:B59)))</f>
        <v>49</v>
      </c>
      <c r="B59" s="151" t="str">
        <f>IF(OR($C$6="",$I$6="",$L$6=""),"",IF(HKI!$B59="","",HKI!$B59))</f>
        <v>13D301Đ166</v>
      </c>
      <c r="C59" s="26" t="str">
        <f>IF(OR($C$6="",$I$6=""),"",IF(HKI!$C59="","",HKI!$C59))</f>
        <v>Nguyễn Văn</v>
      </c>
      <c r="D59" s="27" t="str">
        <f>IF(OR($C$6="",$I$6=""),"",IF(HKI!$D59="","",HKI!$D59))</f>
        <v>Tư</v>
      </c>
      <c r="E59" s="461"/>
      <c r="F59" s="462">
        <v>0</v>
      </c>
      <c r="G59" s="462">
        <v>0</v>
      </c>
      <c r="H59" s="462"/>
      <c r="I59" s="462"/>
      <c r="J59" s="462"/>
      <c r="K59" s="462"/>
      <c r="L59" s="462">
        <v>0</v>
      </c>
      <c r="M59" s="462">
        <v>0</v>
      </c>
      <c r="N59" s="142">
        <f t="shared" si="1"/>
        <v>0</v>
      </c>
      <c r="O59" s="173" t="str">
        <f t="shared" si="0"/>
        <v>Kém</v>
      </c>
      <c r="P59" s="174" t="str">
        <f>IF(OR($B59="",$C$6&lt;&gt;HKI!$P$6,HKI!$R59=""),"",HKI!$R59)</f>
        <v/>
      </c>
      <c r="Q59" s="174" t="str">
        <f t="shared" si="2"/>
        <v/>
      </c>
    </row>
    <row r="60" spans="1:17" ht="18" customHeight="1">
      <c r="A60" s="123">
        <f>IF(OR($C$6="",$I$6="",$L$6=""),"",IF($B60="","",SUBTOTAL(3,$B$11:B60)))</f>
        <v>50</v>
      </c>
      <c r="B60" s="151" t="str">
        <f>IF(OR($C$6="",$I$6="",$L$6=""),"",IF(HKI!$B60="","",HKI!$B60))</f>
        <v>13D301Đ178</v>
      </c>
      <c r="C60" s="26" t="str">
        <f>IF(OR($C$6="",$I$6=""),"",IF(HKI!$C60="","",HKI!$C60))</f>
        <v>Lê Văn</v>
      </c>
      <c r="D60" s="27" t="str">
        <f>IF(OR($C$6="",$I$6=""),"",IF(HKI!$D60="","",HKI!$D60))</f>
        <v>Vũ</v>
      </c>
      <c r="E60" s="461"/>
      <c r="F60" s="462">
        <v>0</v>
      </c>
      <c r="G60" s="462">
        <v>0</v>
      </c>
      <c r="H60" s="462"/>
      <c r="I60" s="462"/>
      <c r="J60" s="462"/>
      <c r="K60" s="462"/>
      <c r="L60" s="462">
        <v>0</v>
      </c>
      <c r="M60" s="462">
        <v>0</v>
      </c>
      <c r="N60" s="142">
        <f t="shared" si="1"/>
        <v>0</v>
      </c>
      <c r="O60" s="173" t="str">
        <f t="shared" si="0"/>
        <v>Kém</v>
      </c>
      <c r="P60" s="174" t="str">
        <f>IF(OR($B60="",$C$6&lt;&gt;HKI!$P$6,HKI!$R60=""),"",HKI!$R60)</f>
        <v/>
      </c>
      <c r="Q60" s="174" t="str">
        <f t="shared" si="2"/>
        <v/>
      </c>
    </row>
    <row r="61" spans="1:17" ht="18" customHeight="1">
      <c r="A61" s="123" t="str">
        <f>IF(OR($C$6="",$I$6="",$L$6=""),"",IF($B61="","",SUBTOTAL(3,$B$11:B61)))</f>
        <v/>
      </c>
      <c r="B61" s="151" t="str">
        <f>IF(OR($C$6="",$I$6="",$L$6=""),"",IF(HKI!$B61="","",HKI!$B61))</f>
        <v/>
      </c>
      <c r="C61" s="26" t="str">
        <f>IF(OR($C$6="",$I$6=""),"",IF(HKI!$C61="","",HKI!$C61))</f>
        <v/>
      </c>
      <c r="D61" s="27" t="str">
        <f>IF(OR($C$6="",$I$6=""),"",IF(HKI!$D61="","",HKI!$D61))</f>
        <v/>
      </c>
      <c r="E61" s="45"/>
      <c r="F61" s="143"/>
      <c r="G61" s="143"/>
      <c r="H61" s="143"/>
      <c r="I61" s="143"/>
      <c r="J61" s="143"/>
      <c r="K61" s="143"/>
      <c r="L61" s="143"/>
      <c r="M61" s="143"/>
      <c r="N61" s="142" t="str">
        <f t="shared" si="1"/>
        <v/>
      </c>
      <c r="O61" s="173" t="str">
        <f t="shared" si="0"/>
        <v/>
      </c>
      <c r="P61" s="174" t="str">
        <f>IF(OR($B61="",$C$6&lt;&gt;HKI!$P$6,HKI!$R61=""),"",HKI!$R61)</f>
        <v/>
      </c>
      <c r="Q61" s="174" t="str">
        <f t="shared" si="2"/>
        <v/>
      </c>
    </row>
    <row r="62" spans="1:17" ht="18" customHeight="1">
      <c r="A62" s="123" t="str">
        <f>IF(OR($C$6="",$I$6="",$L$6=""),"",IF($B62="","",SUBTOTAL(3,$B$11:B62)))</f>
        <v/>
      </c>
      <c r="B62" s="151" t="str">
        <f>IF(OR($C$6="",$I$6="",$L$6=""),"",IF(HKI!$B62="","",HKI!$B62))</f>
        <v/>
      </c>
      <c r="C62" s="26" t="str">
        <f>IF(OR($C$6="",$I$6=""),"",IF(HKI!$C62="","",HKI!$C62))</f>
        <v/>
      </c>
      <c r="D62" s="27" t="str">
        <f>IF(OR($C$6="",$I$6=""),"",IF(HKI!$D62="","",HKI!$D62))</f>
        <v/>
      </c>
      <c r="E62" s="45"/>
      <c r="F62" s="143"/>
      <c r="G62" s="143"/>
      <c r="H62" s="143"/>
      <c r="I62" s="143"/>
      <c r="J62" s="143"/>
      <c r="K62" s="143"/>
      <c r="L62" s="143"/>
      <c r="M62" s="143"/>
      <c r="N62" s="142" t="str">
        <f t="shared" si="1"/>
        <v/>
      </c>
      <c r="O62" s="173" t="str">
        <f t="shared" si="0"/>
        <v/>
      </c>
      <c r="P62" s="174" t="str">
        <f>IF(OR($B62="",$C$6&lt;&gt;HKI!$P$6,HKI!$R62=""),"",HKI!$R62)</f>
        <v/>
      </c>
      <c r="Q62" s="174" t="str">
        <f t="shared" si="2"/>
        <v/>
      </c>
    </row>
    <row r="63" spans="1:17" ht="18" customHeight="1">
      <c r="A63" s="123" t="str">
        <f>IF(OR($C$6="",$I$6="",$L$6=""),"",IF($B63="","",SUBTOTAL(3,$B$11:B63)))</f>
        <v/>
      </c>
      <c r="B63" s="151" t="str">
        <f>IF(OR($C$6="",$I$6="",$L$6=""),"",IF(HKI!$B63="","",HKI!$B63))</f>
        <v/>
      </c>
      <c r="C63" s="26" t="str">
        <f>IF(OR($C$6="",$I$6=""),"",IF(HKI!$C63="","",HKI!$C63))</f>
        <v/>
      </c>
      <c r="D63" s="27" t="str">
        <f>IF(OR($C$6="",$I$6=""),"",IF(HKI!$D63="","",HKI!$D63))</f>
        <v/>
      </c>
      <c r="E63" s="45"/>
      <c r="F63" s="143"/>
      <c r="G63" s="143"/>
      <c r="H63" s="143"/>
      <c r="I63" s="143"/>
      <c r="J63" s="143"/>
      <c r="K63" s="143"/>
      <c r="L63" s="143"/>
      <c r="M63" s="143"/>
      <c r="N63" s="142" t="str">
        <f t="shared" si="1"/>
        <v/>
      </c>
      <c r="O63" s="173" t="str">
        <f t="shared" si="0"/>
        <v/>
      </c>
      <c r="P63" s="174" t="str">
        <f>IF(OR($B63="",$C$6&lt;&gt;HKI!$P$6,HKI!$R63=""),"",HKI!$R63)</f>
        <v/>
      </c>
      <c r="Q63" s="174" t="str">
        <f t="shared" si="2"/>
        <v/>
      </c>
    </row>
    <row r="64" spans="1:17" ht="18" customHeight="1">
      <c r="A64" s="123" t="str">
        <f>IF(OR($C$6="",$I$6="",$L$6=""),"",IF($B64="","",SUBTOTAL(3,$B$11:B64)))</f>
        <v/>
      </c>
      <c r="B64" s="151" t="str">
        <f>IF(OR($C$6="",$I$6="",$L$6=""),"",IF(HKI!$B64="","",HKI!$B64))</f>
        <v/>
      </c>
      <c r="C64" s="26" t="str">
        <f>IF(OR($C$6="",$I$6=""),"",IF(HKI!$C64="","",HKI!$C64))</f>
        <v/>
      </c>
      <c r="D64" s="27" t="str">
        <f>IF(OR($C$6="",$I$6=""),"",IF(HKI!$D64="","",HKI!$D64))</f>
        <v/>
      </c>
      <c r="E64" s="45"/>
      <c r="F64" s="143"/>
      <c r="G64" s="143"/>
      <c r="H64" s="143"/>
      <c r="I64" s="143"/>
      <c r="J64" s="143"/>
      <c r="K64" s="143"/>
      <c r="L64" s="143"/>
      <c r="M64" s="143"/>
      <c r="N64" s="142" t="str">
        <f t="shared" si="1"/>
        <v/>
      </c>
      <c r="O64" s="173" t="str">
        <f t="shared" si="0"/>
        <v/>
      </c>
      <c r="P64" s="174" t="str">
        <f>IF(OR($B64="",$C$6&lt;&gt;HKI!$P$6,HKI!$R64=""),"",HKI!$R64)</f>
        <v/>
      </c>
      <c r="Q64" s="174" t="str">
        <f t="shared" si="2"/>
        <v/>
      </c>
    </row>
    <row r="65" spans="1:17" ht="18" customHeight="1">
      <c r="A65" s="123" t="str">
        <f>IF(OR($C$6="",$I$6="",$L$6=""),"",IF($B65="","",SUBTOTAL(3,$B$11:B65)))</f>
        <v/>
      </c>
      <c r="B65" s="151" t="str">
        <f>IF(OR($C$6="",$I$6="",$L$6=""),"",IF(HKI!$B65="","",HKI!$B65))</f>
        <v/>
      </c>
      <c r="C65" s="26" t="str">
        <f>IF(OR($C$6="",$I$6=""),"",IF(HKI!$C65="","",HKI!$C65))</f>
        <v/>
      </c>
      <c r="D65" s="27" t="str">
        <f>IF(OR($C$6="",$I$6=""),"",IF(HKI!$D65="","",HKI!$D65))</f>
        <v/>
      </c>
      <c r="E65" s="45"/>
      <c r="F65" s="143"/>
      <c r="G65" s="143"/>
      <c r="H65" s="143"/>
      <c r="I65" s="143"/>
      <c r="J65" s="143"/>
      <c r="K65" s="143"/>
      <c r="L65" s="143"/>
      <c r="M65" s="143"/>
      <c r="N65" s="142" t="str">
        <f t="shared" si="1"/>
        <v/>
      </c>
      <c r="O65" s="173" t="str">
        <f t="shared" si="0"/>
        <v/>
      </c>
      <c r="P65" s="174" t="str">
        <f>IF(OR($B65="",$C$6&lt;&gt;HKI!$P$6,HKI!$R65=""),"",HKI!$R65)</f>
        <v/>
      </c>
      <c r="Q65" s="174" t="str">
        <f t="shared" si="2"/>
        <v/>
      </c>
    </row>
    <row r="66" spans="1:17" ht="18" customHeight="1">
      <c r="A66" s="123" t="str">
        <f>IF(OR($C$6="",$I$6="",$L$6=""),"",IF($B66="","",SUBTOTAL(3,$B$11:B66)))</f>
        <v/>
      </c>
      <c r="B66" s="151" t="str">
        <f>IF(OR($C$6="",$I$6="",$L$6=""),"",IF(HKI!$B66="","",HKI!$B66))</f>
        <v/>
      </c>
      <c r="C66" s="26" t="str">
        <f>IF(OR($C$6="",$I$6=""),"",IF(HKI!$C66="","",HKI!$C66))</f>
        <v/>
      </c>
      <c r="D66" s="27" t="str">
        <f>IF(OR($C$6="",$I$6=""),"",IF(HKI!$D66="","",HKI!$D66))</f>
        <v/>
      </c>
      <c r="E66" s="45"/>
      <c r="F66" s="144"/>
      <c r="G66" s="144"/>
      <c r="H66" s="144"/>
      <c r="I66" s="144"/>
      <c r="J66" s="144"/>
      <c r="K66" s="144"/>
      <c r="L66" s="144"/>
      <c r="M66" s="144"/>
      <c r="N66" s="142" t="str">
        <f t="shared" si="1"/>
        <v/>
      </c>
      <c r="O66" s="173" t="str">
        <f t="shared" si="0"/>
        <v/>
      </c>
      <c r="P66" s="174" t="str">
        <f>IF(OR($B66="",$C$6&lt;&gt;HKI!$P$6,HKI!$R66=""),"",HKI!$R66)</f>
        <v/>
      </c>
      <c r="Q66" s="174" t="str">
        <f t="shared" si="2"/>
        <v/>
      </c>
    </row>
    <row r="67" spans="1:17" ht="18" customHeight="1">
      <c r="A67" s="123" t="str">
        <f>IF(OR($C$6="",$I$6="",$L$6=""),"",IF($B67="","",SUBTOTAL(3,$B$11:B67)))</f>
        <v/>
      </c>
      <c r="B67" s="151" t="str">
        <f>IF(OR($C$6="",$I$6="",$L$6=""),"",IF(HKI!$B67="","",HKI!$B67))</f>
        <v/>
      </c>
      <c r="C67" s="26" t="str">
        <f>IF(OR($C$6="",$I$6=""),"",IF(HKI!$C67="","",HKI!$C67))</f>
        <v/>
      </c>
      <c r="D67" s="27" t="str">
        <f>IF(OR($C$6="",$I$6=""),"",IF(HKI!$D67="","",HKI!$D67))</f>
        <v/>
      </c>
      <c r="E67" s="45"/>
      <c r="F67" s="144"/>
      <c r="G67" s="144"/>
      <c r="H67" s="144"/>
      <c r="I67" s="144"/>
      <c r="J67" s="144"/>
      <c r="K67" s="144"/>
      <c r="L67" s="144"/>
      <c r="M67" s="144"/>
      <c r="N67" s="142" t="str">
        <f t="shared" si="1"/>
        <v/>
      </c>
      <c r="O67" s="173" t="str">
        <f t="shared" si="0"/>
        <v/>
      </c>
      <c r="P67" s="174" t="str">
        <f>IF(OR($B67="",$C$6&lt;&gt;HKI!$P$6,HKI!$R67=""),"",HKI!$R67)</f>
        <v/>
      </c>
      <c r="Q67" s="174" t="str">
        <f t="shared" si="2"/>
        <v/>
      </c>
    </row>
    <row r="68" spans="1:17" ht="18" customHeight="1">
      <c r="A68" s="123" t="str">
        <f>IF(OR($C$6="",$I$6="",$L$6=""),"",IF($B68="","",SUBTOTAL(3,$B$11:B68)))</f>
        <v/>
      </c>
      <c r="B68" s="151" t="str">
        <f>IF(OR($C$6="",$I$6="",$L$6=""),"",IF(HKI!$B68="","",HKI!$B68))</f>
        <v/>
      </c>
      <c r="C68" s="26" t="str">
        <f>IF(OR($C$6="",$I$6=""),"",IF(HKI!$C68="","",HKI!$C68))</f>
        <v/>
      </c>
      <c r="D68" s="27" t="str">
        <f>IF(OR($C$6="",$I$6=""),"",IF(HKI!$D68="","",HKI!$D68))</f>
        <v/>
      </c>
      <c r="E68" s="45"/>
      <c r="F68" s="45"/>
      <c r="G68" s="45"/>
      <c r="H68" s="45"/>
      <c r="I68" s="45"/>
      <c r="J68" s="45"/>
      <c r="K68" s="45"/>
      <c r="L68" s="45"/>
      <c r="M68" s="45"/>
      <c r="N68" s="142" t="str">
        <f t="shared" si="1"/>
        <v/>
      </c>
      <c r="O68" s="173" t="str">
        <f t="shared" si="0"/>
        <v/>
      </c>
      <c r="P68" s="174" t="str">
        <f>IF(OR($B68="",$C$6&lt;&gt;HKI!$P$6,HKI!$R68=""),"",HKI!$R68)</f>
        <v/>
      </c>
      <c r="Q68" s="174" t="str">
        <f t="shared" si="2"/>
        <v/>
      </c>
    </row>
    <row r="69" spans="1:17" ht="18" customHeight="1">
      <c r="A69" s="123" t="str">
        <f>IF(OR($C$6="",$I$6="",$L$6=""),"",IF($B69="","",SUBTOTAL(3,$B$11:B69)))</f>
        <v/>
      </c>
      <c r="B69" s="151" t="str">
        <f>IF(OR($C$6="",$I$6="",$L$6=""),"",IF(HKI!$B69="","",HKI!$B69))</f>
        <v/>
      </c>
      <c r="C69" s="26" t="str">
        <f>IF(OR($C$6="",$I$6=""),"",IF(HKI!$C69="","",HKI!$C69))</f>
        <v/>
      </c>
      <c r="D69" s="27" t="str">
        <f>IF(OR($C$6="",$I$6=""),"",IF(HKI!$D69="","",HKI!$D69))</f>
        <v/>
      </c>
      <c r="E69" s="45"/>
      <c r="F69" s="45"/>
      <c r="G69" s="45"/>
      <c r="H69" s="45"/>
      <c r="I69" s="45"/>
      <c r="J69" s="45"/>
      <c r="K69" s="45"/>
      <c r="L69" s="45"/>
      <c r="M69" s="45"/>
      <c r="N69" s="142" t="str">
        <f t="shared" si="1"/>
        <v/>
      </c>
      <c r="O69" s="173" t="str">
        <f t="shared" si="0"/>
        <v/>
      </c>
      <c r="P69" s="174" t="str">
        <f>IF(OR($B69="",$C$6&lt;&gt;HKI!$P$6,HKI!$R69=""),"",HKI!$R69)</f>
        <v/>
      </c>
      <c r="Q69" s="174" t="str">
        <f t="shared" si="2"/>
        <v/>
      </c>
    </row>
    <row r="70" spans="1:17" ht="18" customHeight="1">
      <c r="A70" s="123" t="str">
        <f>IF(OR($C$6="",$I$6="",$L$6=""),"",IF($B70="","",SUBTOTAL(3,$B$11:B70)))</f>
        <v/>
      </c>
      <c r="B70" s="151" t="str">
        <f>IF(OR($C$6="",$I$6="",$L$6=""),"",IF(HKI!$B70="","",HKI!$B70))</f>
        <v/>
      </c>
      <c r="C70" s="26" t="str">
        <f>IF(OR($C$6="",$I$6=""),"",IF(HKI!$C70="","",HKI!$C70))</f>
        <v/>
      </c>
      <c r="D70" s="27" t="str">
        <f>IF(OR($C$6="",$I$6=""),"",IF(HKI!$D70="","",HKI!$D70))</f>
        <v/>
      </c>
      <c r="E70" s="45"/>
      <c r="F70" s="45"/>
      <c r="G70" s="45"/>
      <c r="H70" s="45"/>
      <c r="I70" s="45"/>
      <c r="J70" s="45"/>
      <c r="K70" s="45"/>
      <c r="L70" s="45"/>
      <c r="M70" s="45"/>
      <c r="N70" s="142" t="str">
        <f t="shared" si="1"/>
        <v/>
      </c>
      <c r="O70" s="173" t="str">
        <f t="shared" si="0"/>
        <v/>
      </c>
      <c r="P70" s="174" t="str">
        <f>IF(OR($B70="",$C$6&lt;&gt;HKI!$P$6,HKI!$R70=""),"",HKI!$R70)</f>
        <v/>
      </c>
      <c r="Q70" s="174" t="str">
        <f t="shared" si="2"/>
        <v/>
      </c>
    </row>
    <row r="71" spans="1:17" ht="18" customHeight="1">
      <c r="A71" s="123" t="str">
        <f>IF(OR($C$6="",$I$6="",$L$6=""),"",IF($B71="","",SUBTOTAL(3,$B$11:B71)))</f>
        <v/>
      </c>
      <c r="B71" s="151" t="str">
        <f>IF(OR($C$6="",$I$6="",$L$6=""),"",IF(HKI!$B71="","",HKI!$B71))</f>
        <v/>
      </c>
      <c r="C71" s="26" t="str">
        <f>IF(OR($C$6="",$I$6=""),"",IF(HKI!$C71="","",HKI!$C71))</f>
        <v/>
      </c>
      <c r="D71" s="27" t="str">
        <f>IF(OR($C$6="",$I$6=""),"",IF(HKI!$D71="","",HKI!$D71))</f>
        <v/>
      </c>
      <c r="E71" s="45"/>
      <c r="F71" s="143"/>
      <c r="G71" s="143"/>
      <c r="H71" s="143"/>
      <c r="I71" s="143"/>
      <c r="J71" s="143"/>
      <c r="K71" s="143"/>
      <c r="L71" s="143"/>
      <c r="M71" s="143"/>
      <c r="N71" s="142" t="str">
        <f t="shared" si="1"/>
        <v/>
      </c>
      <c r="O71" s="173" t="str">
        <f t="shared" si="0"/>
        <v/>
      </c>
      <c r="P71" s="174" t="str">
        <f>IF(OR($B71="",$C$6&lt;&gt;HKI!$P$6,HKI!$R71=""),"",HKI!$R71)</f>
        <v/>
      </c>
      <c r="Q71" s="174" t="str">
        <f t="shared" si="2"/>
        <v/>
      </c>
    </row>
    <row r="72" spans="1:17" ht="18" customHeight="1">
      <c r="A72" s="123" t="str">
        <f>IF(OR($C$6="",$I$6="",$L$6=""),"",IF($B72="","",SUBTOTAL(3,$B$11:B72)))</f>
        <v/>
      </c>
      <c r="B72" s="151" t="str">
        <f>IF(OR($C$6="",$I$6="",$L$6=""),"",IF(HKI!$B72="","",HKI!$B72))</f>
        <v/>
      </c>
      <c r="C72" s="26" t="str">
        <f>IF(OR($C$6="",$I$6=""),"",IF(HKI!$C72="","",HKI!$C72))</f>
        <v/>
      </c>
      <c r="D72" s="27" t="str">
        <f>IF(OR($C$6="",$I$6=""),"",IF(HKI!$D72="","",HKI!$D72))</f>
        <v/>
      </c>
      <c r="E72" s="45"/>
      <c r="F72" s="143"/>
      <c r="G72" s="143"/>
      <c r="H72" s="143"/>
      <c r="I72" s="143"/>
      <c r="J72" s="143"/>
      <c r="K72" s="143"/>
      <c r="L72" s="143"/>
      <c r="M72" s="143"/>
      <c r="N72" s="142" t="str">
        <f t="shared" si="1"/>
        <v/>
      </c>
      <c r="O72" s="173" t="str">
        <f t="shared" si="0"/>
        <v/>
      </c>
      <c r="P72" s="174" t="str">
        <f>IF(OR($B72="",$C$6&lt;&gt;HKI!$P$6,HKI!$R72=""),"",HKI!$R72)</f>
        <v/>
      </c>
      <c r="Q72" s="174" t="str">
        <f t="shared" si="2"/>
        <v/>
      </c>
    </row>
    <row r="73" spans="1:17" ht="18" customHeight="1">
      <c r="A73" s="123" t="str">
        <f>IF(OR($C$6="",$I$6="",$L$6=""),"",IF($B73="","",SUBTOTAL(3,$B$11:B73)))</f>
        <v/>
      </c>
      <c r="B73" s="151" t="str">
        <f>IF(OR($C$6="",$I$6="",$L$6=""),"",IF(HKI!$B73="","",HKI!$B73))</f>
        <v/>
      </c>
      <c r="C73" s="26" t="str">
        <f>IF(OR($C$6="",$I$6=""),"",IF(HKI!$C73="","",HKI!$C73))</f>
        <v/>
      </c>
      <c r="D73" s="27" t="str">
        <f>IF(OR($C$6="",$I$6=""),"",IF(HKI!$D73="","",HKI!$D73))</f>
        <v/>
      </c>
      <c r="E73" s="45"/>
      <c r="F73" s="143"/>
      <c r="G73" s="143"/>
      <c r="H73" s="143"/>
      <c r="I73" s="143"/>
      <c r="J73" s="143"/>
      <c r="K73" s="143"/>
      <c r="L73" s="143"/>
      <c r="M73" s="143"/>
      <c r="N73" s="142" t="str">
        <f t="shared" si="1"/>
        <v/>
      </c>
      <c r="O73" s="173" t="str">
        <f t="shared" si="0"/>
        <v/>
      </c>
      <c r="P73" s="174" t="str">
        <f>IF(OR($B73="",$C$6&lt;&gt;HKI!$P$6,HKI!$R73=""),"",HKI!$R73)</f>
        <v/>
      </c>
      <c r="Q73" s="174" t="str">
        <f t="shared" si="2"/>
        <v/>
      </c>
    </row>
    <row r="74" spans="1:17" ht="18" customHeight="1">
      <c r="A74" s="123" t="str">
        <f>IF(OR($C$6="",$I$6="",$L$6=""),"",IF($B74="","",SUBTOTAL(3,$B$11:B74)))</f>
        <v/>
      </c>
      <c r="B74" s="151" t="str">
        <f>IF(OR($C$6="",$I$6="",$L$6=""),"",IF(HKI!$B74="","",HKI!$B74))</f>
        <v/>
      </c>
      <c r="C74" s="26" t="str">
        <f>IF(OR($C$6="",$I$6=""),"",IF(HKI!$C74="","",HKI!$C74))</f>
        <v/>
      </c>
      <c r="D74" s="27" t="str">
        <f>IF(OR($C$6="",$I$6=""),"",IF(HKI!$D74="","",HKI!$D74))</f>
        <v/>
      </c>
      <c r="E74" s="45"/>
      <c r="F74" s="143"/>
      <c r="G74" s="143"/>
      <c r="H74" s="143"/>
      <c r="I74" s="143"/>
      <c r="J74" s="143"/>
      <c r="K74" s="143"/>
      <c r="L74" s="143"/>
      <c r="M74" s="143"/>
      <c r="N74" s="142" t="str">
        <f t="shared" si="1"/>
        <v/>
      </c>
      <c r="O74" s="173" t="str">
        <f t="shared" si="0"/>
        <v/>
      </c>
      <c r="P74" s="174" t="str">
        <f>IF(OR($B74="",$C$6&lt;&gt;HKI!$P$6,HKI!$R74=""),"",HKI!$R74)</f>
        <v/>
      </c>
      <c r="Q74" s="174" t="str">
        <f t="shared" si="2"/>
        <v/>
      </c>
    </row>
    <row r="75" spans="1:17" ht="18" customHeight="1">
      <c r="A75" s="123" t="str">
        <f>IF(OR($C$6="",$I$6="",$L$6=""),"",IF($B75="","",SUBTOTAL(3,$B$11:B75)))</f>
        <v/>
      </c>
      <c r="B75" s="151" t="str">
        <f>IF(OR($C$6="",$I$6="",$L$6=""),"",IF(HKI!$B75="","",HKI!$B75))</f>
        <v/>
      </c>
      <c r="C75" s="26" t="str">
        <f>IF(OR($C$6="",$I$6=""),"",IF(HKI!$C75="","",HKI!$C75))</f>
        <v/>
      </c>
      <c r="D75" s="27" t="str">
        <f>IF(OR($C$6="",$I$6=""),"",IF(HKI!$D75="","",HKI!$D75))</f>
        <v/>
      </c>
      <c r="E75" s="45"/>
      <c r="F75" s="143"/>
      <c r="G75" s="143"/>
      <c r="H75" s="143"/>
      <c r="I75" s="143"/>
      <c r="J75" s="143"/>
      <c r="K75" s="143"/>
      <c r="L75" s="143"/>
      <c r="M75" s="143"/>
      <c r="N75" s="142" t="str">
        <f t="shared" si="1"/>
        <v/>
      </c>
      <c r="O75" s="173" t="str">
        <f t="shared" ref="O75:O80" si="3">IF($B75="","",IF($N75="","KXL",IF($N75&lt;4,"Kém",IF($N75&lt;5.5,"TB Yếu",IF($N75&lt;7,"T.Bình",IF($N75&lt;8.5,"Khá","Giỏi"))))))</f>
        <v/>
      </c>
      <c r="P75" s="174" t="str">
        <f>IF(OR($B75="",$C$6&lt;&gt;HKI!$P$6,HKI!$R75=""),"",HKI!$R75)</f>
        <v/>
      </c>
      <c r="Q75" s="174" t="str">
        <f t="shared" si="2"/>
        <v/>
      </c>
    </row>
    <row r="76" spans="1:17" ht="18" customHeight="1">
      <c r="A76" s="123" t="str">
        <f>IF(OR($C$6="",$I$6="",$L$6=""),"",IF($B76="","",SUBTOTAL(3,$B$11:B76)))</f>
        <v/>
      </c>
      <c r="B76" s="151" t="str">
        <f>IF(OR($C$6="",$I$6="",$L$6=""),"",IF(HKI!$B76="","",HKI!$B76))</f>
        <v/>
      </c>
      <c r="C76" s="26" t="str">
        <f>IF(OR($C$6="",$I$6=""),"",IF(HKI!$C76="","",HKI!$C76))</f>
        <v/>
      </c>
      <c r="D76" s="27" t="str">
        <f>IF(OR($C$6="",$I$6=""),"",IF(HKI!$D76="","",HKI!$D76))</f>
        <v/>
      </c>
      <c r="E76" s="45"/>
      <c r="F76" s="144"/>
      <c r="G76" s="144"/>
      <c r="H76" s="144"/>
      <c r="I76" s="144"/>
      <c r="J76" s="144"/>
      <c r="K76" s="144"/>
      <c r="L76" s="144"/>
      <c r="M76" s="144"/>
      <c r="N76" s="142" t="str">
        <f>IF($B76="","",IF(ISNUMBER($E76)=TRUE,$E76,IF(COUNT($F76:$M76)=0,"",IF(COUNT($F76:$K76)=0,ROUND(0.3*$L76+0.5*$M76,1),ROUND(0.2*(SUM($F76:$K76)/COUNT($F76:$K76))+0.3*$L76+0.5*$M76,1)))))</f>
        <v/>
      </c>
      <c r="O76" s="173" t="str">
        <f t="shared" si="3"/>
        <v/>
      </c>
      <c r="P76" s="174" t="str">
        <f>IF(OR($B76="",$C$6&lt;&gt;HKI!$P$6,HKI!$R76=""),"",HKI!$R76)</f>
        <v/>
      </c>
      <c r="Q76" s="174" t="str">
        <f>IF(OR(ISNUMBER($E76)=TRUE,$B76="",$P76=""),"",IF(COUNT($F76:$M76)=0,"",IF($M76&gt;=$P76,$N76,IF(COUNT($F76:$K76)=0,ROUND(0.3*$L76+0.5*$P76,1),ROUND(0.2*(SUM($F76:$K76)/COUNT($F76:$K76))+0.3*$L76+0.5*$P76,1)))))</f>
        <v/>
      </c>
    </row>
    <row r="77" spans="1:17" ht="18" customHeight="1">
      <c r="A77" s="123" t="str">
        <f>IF(OR($C$6="",$I$6="",$L$6=""),"",IF($B77="","",SUBTOTAL(3,$B$11:B77)))</f>
        <v/>
      </c>
      <c r="B77" s="151" t="str">
        <f>IF(OR($C$6="",$I$6="",$L$6=""),"",IF(HKI!$B77="","",HKI!$B77))</f>
        <v/>
      </c>
      <c r="C77" s="26" t="str">
        <f>IF(OR($C$6="",$I$6=""),"",IF(HKI!$C77="","",HKI!$C77))</f>
        <v/>
      </c>
      <c r="D77" s="27" t="str">
        <f>IF(OR($C$6="",$I$6=""),"",IF(HKI!$D77="","",HKI!$D77))</f>
        <v/>
      </c>
      <c r="E77" s="45"/>
      <c r="F77" s="144"/>
      <c r="G77" s="144"/>
      <c r="H77" s="144"/>
      <c r="I77" s="144"/>
      <c r="J77" s="144"/>
      <c r="K77" s="144"/>
      <c r="L77" s="144"/>
      <c r="M77" s="144"/>
      <c r="N77" s="142" t="str">
        <f>IF($B77="","",IF(ISNUMBER($E77)=TRUE,$E77,IF(COUNT($F77:$M77)=0,"",IF(COUNT($F77:$K77)=0,ROUND(0.3*$L77+0.5*$M77,1),ROUND(0.2*(SUM($F77:$K77)/COUNT($F77:$K77))+0.3*$L77+0.5*$M77,1)))))</f>
        <v/>
      </c>
      <c r="O77" s="173" t="str">
        <f t="shared" si="3"/>
        <v/>
      </c>
      <c r="P77" s="174" t="str">
        <f>IF(OR($B77="",$C$6&lt;&gt;HKI!$P$6,HKI!$R77=""),"",HKI!$R77)</f>
        <v/>
      </c>
      <c r="Q77" s="174" t="str">
        <f>IF(OR(ISNUMBER($E77)=TRUE,$B77="",$P77=""),"",IF(COUNT($F77:$M77)=0,"",IF($M77&gt;=$P77,$N77,IF(COUNT($F77:$K77)=0,ROUND(0.3*$L77+0.5*$P77,1),ROUND(0.2*(SUM($F77:$K77)/COUNT($F77:$K77))+0.3*$L77+0.5*$P77,1)))))</f>
        <v/>
      </c>
    </row>
    <row r="78" spans="1:17" ht="18" customHeight="1">
      <c r="A78" s="123" t="str">
        <f>IF(OR($C$6="",$I$6="",$L$6=""),"",IF($B78="","",SUBTOTAL(3,$B$11:B78)))</f>
        <v/>
      </c>
      <c r="B78" s="151" t="str">
        <f>IF(OR($C$6="",$I$6="",$L$6=""),"",IF(HKI!$B78="","",HKI!$B78))</f>
        <v/>
      </c>
      <c r="C78" s="26" t="str">
        <f>IF(OR($C$6="",$I$6=""),"",IF(HKI!$C78="","",HKI!$C78))</f>
        <v/>
      </c>
      <c r="D78" s="27" t="str">
        <f>IF(OR($C$6="",$I$6=""),"",IF(HKI!$D78="","",HKI!$D78))</f>
        <v/>
      </c>
      <c r="E78" s="45"/>
      <c r="F78" s="45"/>
      <c r="G78" s="45"/>
      <c r="H78" s="45"/>
      <c r="I78" s="45"/>
      <c r="J78" s="45"/>
      <c r="K78" s="45"/>
      <c r="L78" s="45"/>
      <c r="M78" s="45"/>
      <c r="N78" s="142" t="str">
        <f>IF($B78="","",IF(ISNUMBER($E78)=TRUE,$E78,IF(COUNT($F78:$M78)=0,"",IF(COUNT($F78:$K78)=0,ROUND(0.3*$L78+0.5*$M78,1),ROUND(0.2*(SUM($F78:$K78)/COUNT($F78:$K78))+0.3*$L78+0.5*$M78,1)))))</f>
        <v/>
      </c>
      <c r="O78" s="173" t="str">
        <f t="shared" si="3"/>
        <v/>
      </c>
      <c r="P78" s="174" t="str">
        <f>IF(OR($B78="",$C$6&lt;&gt;HKI!$P$6,HKI!$R78=""),"",HKI!$R78)</f>
        <v/>
      </c>
      <c r="Q78" s="174" t="str">
        <f>IF(OR(ISNUMBER($E78)=TRUE,$B78="",$P78=""),"",IF(COUNT($F78:$M78)=0,"",IF($M78&gt;=$P78,$N78,IF(COUNT($F78:$K78)=0,ROUND(0.3*$L78+0.5*$P78,1),ROUND(0.2*(SUM($F78:$K78)/COUNT($F78:$K78))+0.3*$L78+0.5*$P78,1)))))</f>
        <v/>
      </c>
    </row>
    <row r="79" spans="1:17" ht="18" customHeight="1">
      <c r="A79" s="123" t="str">
        <f>IF(OR($C$6="",$I$6="",$L$6=""),"",IF($B79="","",SUBTOTAL(3,$B$11:B79)))</f>
        <v/>
      </c>
      <c r="B79" s="151" t="str">
        <f>IF(OR($C$6="",$I$6="",$L$6=""),"",IF(HKI!$B79="","",HKI!$B79))</f>
        <v/>
      </c>
      <c r="C79" s="26" t="str">
        <f>IF(OR($C$6="",$I$6=""),"",IF(HKI!$C79="","",HKI!$C79))</f>
        <v/>
      </c>
      <c r="D79" s="27" t="str">
        <f>IF(OR($C$6="",$I$6=""),"",IF(HKI!$D79="","",HKI!$D79))</f>
        <v/>
      </c>
      <c r="E79" s="45"/>
      <c r="F79" s="45"/>
      <c r="G79" s="45"/>
      <c r="H79" s="45"/>
      <c r="I79" s="45"/>
      <c r="J79" s="45"/>
      <c r="K79" s="45"/>
      <c r="L79" s="45"/>
      <c r="M79" s="45"/>
      <c r="N79" s="142" t="str">
        <f>IF($B79="","",IF(ISNUMBER($E79)=TRUE,$E79,IF(COUNT($F79:$M79)=0,"",IF(COUNT($F79:$K79)=0,ROUND(0.3*$L79+0.5*$M79,1),ROUND(0.2*(SUM($F79:$K79)/COUNT($F79:$K79))+0.3*$L79+0.5*$M79,1)))))</f>
        <v/>
      </c>
      <c r="O79" s="173" t="str">
        <f t="shared" si="3"/>
        <v/>
      </c>
      <c r="P79" s="174" t="str">
        <f>IF(OR($B79="",$C$6&lt;&gt;HKI!$P$6,HKI!$R79=""),"",HKI!$R79)</f>
        <v/>
      </c>
      <c r="Q79" s="174" t="str">
        <f>IF(OR(ISNUMBER($E79)=TRUE,$B79="",$P79=""),"",IF(COUNT($F79:$M79)=0,"",IF($M79&gt;=$P79,$N79,IF(COUNT($F79:$K79)=0,ROUND(0.3*$L79+0.5*$P79,1),ROUND(0.2*(SUM($F79:$K79)/COUNT($F79:$K79))+0.3*$L79+0.5*$P79,1)))))</f>
        <v/>
      </c>
    </row>
    <row r="80" spans="1:17" ht="18" customHeight="1">
      <c r="A80" s="123" t="str">
        <f>IF(OR($C$6="",$I$6="",$L$6=""),"",IF($B80="","",SUBTOTAL(3,$B$11:B80)))</f>
        <v/>
      </c>
      <c r="B80" s="151" t="str">
        <f>IF(OR($C$6="",$I$6="",$L$6=""),"",IF(HKI!$B80="","",HKI!$B80))</f>
        <v/>
      </c>
      <c r="C80" s="26" t="str">
        <f>IF(OR($C$6="",$I$6=""),"",IF(HKI!$C80="","",HKI!$C80))</f>
        <v/>
      </c>
      <c r="D80" s="27" t="str">
        <f>IF(OR($C$6="",$I$6=""),"",IF(HKI!$D80="","",HKI!$D80))</f>
        <v/>
      </c>
      <c r="E80" s="45"/>
      <c r="F80" s="45"/>
      <c r="G80" s="45"/>
      <c r="H80" s="45"/>
      <c r="I80" s="45"/>
      <c r="J80" s="45"/>
      <c r="K80" s="45"/>
      <c r="L80" s="45"/>
      <c r="M80" s="45"/>
      <c r="N80" s="142" t="str">
        <f>IF($B80="","",IF(ISNUMBER($E80)=TRUE,$E80,IF(COUNT($F80:$M80)=0,"",IF(COUNT($F80:$K80)=0,ROUND(0.3*$L80+0.5*$M80,1),ROUND(0.2*(SUM($F80:$K80)/COUNT($F80:$K80))+0.3*$L80+0.5*$M80,1)))))</f>
        <v/>
      </c>
      <c r="O80" s="173" t="str">
        <f t="shared" si="3"/>
        <v/>
      </c>
      <c r="P80" s="174" t="str">
        <f>IF(OR($B80="",$C$6&lt;&gt;HKI!$P$6,HKI!$R80=""),"",HKI!$R80)</f>
        <v/>
      </c>
      <c r="Q80" s="174" t="str">
        <f>IF(OR(ISNUMBER($E80)=TRUE,$B80="",$P80=""),"",IF(COUNT($F80:$M80)=0,"",IF($M80&gt;=$P80,$N80,IF(COUNT($F80:$K80)=0,ROUND(0.3*$L80+0.5*$P80,1),ROUND(0.2*(SUM($F80:$K80)/COUNT($F80:$K80))+0.3*$L80+0.5*$P80,1)))))</f>
        <v/>
      </c>
    </row>
    <row r="81" spans="1:16" s="146" customFormat="1" ht="16.5" customHeight="1">
      <c r="A81" s="653" t="s">
        <v>1459</v>
      </c>
      <c r="B81" s="653"/>
      <c r="C81" s="653"/>
      <c r="D81" s="653"/>
      <c r="E81" s="653"/>
      <c r="F81" s="653"/>
      <c r="G81" s="653"/>
      <c r="H81" s="653"/>
      <c r="I81" s="653"/>
      <c r="J81" s="653"/>
      <c r="K81" s="653"/>
      <c r="L81" s="653"/>
      <c r="M81" s="653"/>
      <c r="N81" s="163"/>
      <c r="O81" s="56"/>
      <c r="P81" s="56"/>
    </row>
    <row r="82" spans="1:16" s="146" customFormat="1" ht="12.75" customHeight="1">
      <c r="A82" s="136"/>
      <c r="B82" s="651" t="str">
        <f>"Tổng danh sách có"</f>
        <v>Tổng danh sách có</v>
      </c>
      <c r="C82" s="651"/>
      <c r="D82" s="651"/>
      <c r="E82" s="651"/>
      <c r="F82" s="154" t="str">
        <f>": "&amp;MAX($A$11:$A$80)&amp;" SV"</f>
        <v>: 50 SV</v>
      </c>
      <c r="K82" s="147"/>
      <c r="L82" s="147"/>
      <c r="M82" s="147"/>
      <c r="N82" s="147"/>
      <c r="O82" s="136"/>
    </row>
    <row r="83" spans="1:16" s="146" customFormat="1">
      <c r="A83" s="148"/>
      <c r="B83" s="643" t="str">
        <f>"Tổng số SV có điểm Giỏi từ 8,5 đ đến 10 đ"</f>
        <v>Tổng số SV có điểm Giỏi từ 8,5 đ đến 10 đ</v>
      </c>
      <c r="C83" s="643"/>
      <c r="D83" s="643"/>
      <c r="E83" s="643"/>
      <c r="F83" s="153" t="str">
        <f>": "&amp;COUNTIF($O$11:$O$80,"Giỏi")&amp;" SV"</f>
        <v>: 0 SV</v>
      </c>
      <c r="H83" s="153" t="str">
        <f>IF($B11="","","("&amp;ROUND(COUNTIF($O$11:$O$80,"Giỏi")*100/MAX($A$11:$A$75),2)&amp;"%" &amp;")")</f>
        <v>(0%)</v>
      </c>
      <c r="I83" s="153"/>
      <c r="J83" s="153"/>
      <c r="K83" s="645" t="str">
        <f>IF($B11="","","Tổng số SV có điểm &gt;= 4 đ : "&amp;COUNTIF($N11:$N80,"&gt;=4")&amp;" SV"&amp;" ("&amp;ROUND(COUNTIF($N11:$N80,"&gt;=4")*100/MAX($A$11:$A$80),2)&amp;"%" &amp;")")</f>
        <v>Tổng số SV có điểm &gt;= 4 đ : 43 SV (86%)</v>
      </c>
      <c r="L83" s="645"/>
      <c r="M83" s="645"/>
      <c r="N83" s="645"/>
      <c r="O83" s="13"/>
    </row>
    <row r="84" spans="1:16" s="146" customFormat="1">
      <c r="A84" s="148"/>
      <c r="B84" s="643" t="str">
        <f>"Tổng số SV có điểm Khá từ 7 đ đến &lt;8,5 đ"</f>
        <v>Tổng số SV có điểm Khá từ 7 đ đến &lt;8,5 đ</v>
      </c>
      <c r="C84" s="643"/>
      <c r="D84" s="643"/>
      <c r="E84" s="643"/>
      <c r="F84" s="153" t="str">
        <f>": "&amp;COUNTIF($O$11:$O$80,"Khá")&amp;" SV"</f>
        <v>: 2 SV</v>
      </c>
      <c r="H84" s="153" t="str">
        <f>IF($B11="","","("&amp;ROUND(COUNTIF($O$11:$O$80,"Khá")*100/MAX($A$11:$A$75),2)&amp;"%" &amp;")")</f>
        <v>(4%)</v>
      </c>
      <c r="I84" s="153"/>
      <c r="J84" s="153"/>
      <c r="K84" s="645"/>
      <c r="L84" s="645"/>
      <c r="M84" s="645"/>
      <c r="N84" s="645"/>
      <c r="O84" s="13"/>
    </row>
    <row r="85" spans="1:16" s="146" customFormat="1">
      <c r="A85" s="148"/>
      <c r="B85" s="643" t="str">
        <f>"Tổng số SV có điểm Trung bình từ 5,5 đ đến &lt;7 đ"</f>
        <v>Tổng số SV có điểm Trung bình từ 5,5 đ đến &lt;7 đ</v>
      </c>
      <c r="C85" s="643"/>
      <c r="D85" s="643"/>
      <c r="E85" s="643"/>
      <c r="F85" s="153" t="str">
        <f>": "&amp;COUNTIF($O$11:$O$80,"T.Bình")&amp;" SV"</f>
        <v>: 19 SV</v>
      </c>
      <c r="H85" s="153" t="str">
        <f>IF($B11="","","("&amp;ROUND(COUNTIF($O$11:$O$80,"TB")*100/MAX($A$11:$A$75),2)&amp;"%" &amp;")")</f>
        <v>(0%)</v>
      </c>
      <c r="I85" s="153"/>
      <c r="J85" s="153"/>
      <c r="K85" s="645"/>
      <c r="L85" s="645"/>
      <c r="M85" s="645"/>
      <c r="N85" s="645"/>
      <c r="O85" s="13"/>
    </row>
    <row r="86" spans="1:16" s="146" customFormat="1" ht="12.75" customHeight="1">
      <c r="A86" s="148"/>
      <c r="B86" s="643" t="str">
        <f>"Tổng số SV có điểm Trung bình yếu từ 4 đ đến &lt;5,5 đ"</f>
        <v>Tổng số SV có điểm Trung bình yếu từ 4 đ đến &lt;5,5 đ</v>
      </c>
      <c r="C86" s="643"/>
      <c r="D86" s="643"/>
      <c r="E86" s="643"/>
      <c r="F86" s="153" t="str">
        <f>": "&amp;COUNTIF($O$11:$O$80,"TB Yếu")&amp;" SV"</f>
        <v>: 22 SV</v>
      </c>
      <c r="H86" s="153" t="str">
        <f>IF($B11="","","("&amp;ROUND(COUNTIF($O$11:$O$80,"TBY")*100/MAX($A$11:$A$75),2)&amp;"%" &amp;")")</f>
        <v>(0%)</v>
      </c>
      <c r="I86" s="153"/>
      <c r="J86" s="153"/>
      <c r="K86" s="644" t="str">
        <f>IF($B11="","","Tổng số SV có điểm &lt; 4 đ : "&amp;COUNTIF($N11:$N80,"&lt;4")&amp;" SV"&amp;" ("&amp;ROUND(COUNTIF($N11:$N80,"&lt;4")*100/MAX($A$11:$A$80),2)&amp;"%" &amp;")")</f>
        <v>Tổng số SV có điểm &lt; 4 đ : 7 SV (14%)</v>
      </c>
      <c r="L86" s="644"/>
      <c r="M86" s="644"/>
      <c r="N86" s="644"/>
      <c r="O86" s="28"/>
    </row>
    <row r="87" spans="1:16" s="146" customFormat="1">
      <c r="A87" s="148"/>
      <c r="B87" s="643" t="str">
        <f>"Tổng số SV có điểm kém &lt;4 đ"</f>
        <v>Tổng số SV có điểm kém &lt;4 đ</v>
      </c>
      <c r="C87" s="643"/>
      <c r="D87" s="643"/>
      <c r="E87" s="643"/>
      <c r="F87" s="153" t="str">
        <f>": "&amp;COUNTIF($O$11:$O$80,"Kém")&amp;" SV"</f>
        <v>: 7 SV</v>
      </c>
      <c r="H87" s="153" t="str">
        <f>IF($B11="","","("&amp;ROUND(COUNTIF($O$11:$O$80,"Kém")*100/MAX($A$11:$A$75),2)&amp;"%"&amp;")")</f>
        <v>(14%)</v>
      </c>
      <c r="I87" s="153"/>
      <c r="J87" s="153"/>
      <c r="K87" s="644"/>
      <c r="L87" s="644"/>
      <c r="M87" s="644"/>
      <c r="N87" s="644"/>
      <c r="O87" s="28"/>
    </row>
    <row r="88" spans="1:16" s="146" customFormat="1" ht="12.75" customHeight="1">
      <c r="A88" s="148"/>
      <c r="B88" s="643" t="str">
        <f>"Tổng số SV không xếp loại vì chưa đủ điều kiện"</f>
        <v>Tổng số SV không xếp loại vì chưa đủ điều kiện</v>
      </c>
      <c r="C88" s="643"/>
      <c r="D88" s="643"/>
      <c r="E88" s="643"/>
      <c r="F88" s="153" t="str">
        <f>": "&amp;COUNTIF($O$11:$O$80,"KXL")&amp;" SV"</f>
        <v>: 0 SV</v>
      </c>
      <c r="H88" s="153" t="str">
        <f>IF($B11="","","("&amp;ROUND(COUNTIF($O$11:$O$80,"KXL")*100/MAX($A$11:$A$75),2)&amp;"%"&amp;")")</f>
        <v>(0%)</v>
      </c>
      <c r="I88" s="153"/>
      <c r="J88" s="153"/>
      <c r="K88" s="644"/>
      <c r="L88" s="644"/>
      <c r="M88" s="644"/>
      <c r="N88" s="644"/>
      <c r="O88" s="28"/>
    </row>
    <row r="89" spans="1:16" ht="15.75">
      <c r="B89" s="149"/>
      <c r="C89" s="149"/>
      <c r="D89" s="149"/>
      <c r="E89" s="149"/>
      <c r="F89" s="149"/>
      <c r="G89" s="149"/>
      <c r="H89" s="149"/>
      <c r="I89" s="149"/>
      <c r="J89" s="149"/>
      <c r="K89" s="149"/>
      <c r="L89" s="149"/>
      <c r="M89" s="149"/>
      <c r="N89" s="149"/>
    </row>
    <row r="90" spans="1:16" ht="15.75" customHeight="1">
      <c r="A90" s="636" t="s">
        <v>190</v>
      </c>
      <c r="B90" s="636"/>
      <c r="C90" s="636"/>
      <c r="E90" s="162" t="s">
        <v>256</v>
      </c>
      <c r="F90" s="162"/>
      <c r="G90" s="162"/>
      <c r="H90" s="138"/>
      <c r="I90" s="138"/>
      <c r="J90" s="180" t="s">
        <v>257</v>
      </c>
      <c r="L90" s="162"/>
      <c r="M90" s="162"/>
      <c r="N90" s="162"/>
      <c r="O90" s="162"/>
    </row>
  </sheetData>
  <sheetProtection sheet="1" formatCells="0" formatColumns="0" formatRows="0" autoFilter="0"/>
  <dataConsolidate/>
  <mergeCells count="42">
    <mergeCell ref="A1:F1"/>
    <mergeCell ref="H1:N1"/>
    <mergeCell ref="A2:F2"/>
    <mergeCell ref="H2:N2"/>
    <mergeCell ref="L8:L9"/>
    <mergeCell ref="J8:J9"/>
    <mergeCell ref="A3:E3"/>
    <mergeCell ref="D7:E7"/>
    <mergeCell ref="A4:N4"/>
    <mergeCell ref="A5:L5"/>
    <mergeCell ref="C6:F6"/>
    <mergeCell ref="G6:H6"/>
    <mergeCell ref="A6:B6"/>
    <mergeCell ref="L6:M6"/>
    <mergeCell ref="H7:I7"/>
    <mergeCell ref="J7:L7"/>
    <mergeCell ref="Q8:Q10"/>
    <mergeCell ref="B83:E83"/>
    <mergeCell ref="B82:E82"/>
    <mergeCell ref="F10:K10"/>
    <mergeCell ref="P8:P9"/>
    <mergeCell ref="M8:M9"/>
    <mergeCell ref="N8:N10"/>
    <mergeCell ref="A81:M81"/>
    <mergeCell ref="O8:O10"/>
    <mergeCell ref="K83:N85"/>
    <mergeCell ref="K86:N88"/>
    <mergeCell ref="F8:F9"/>
    <mergeCell ref="B88:E88"/>
    <mergeCell ref="B87:E87"/>
    <mergeCell ref="G8:G9"/>
    <mergeCell ref="H8:H9"/>
    <mergeCell ref="K8:K9"/>
    <mergeCell ref="I8:I9"/>
    <mergeCell ref="A90:C90"/>
    <mergeCell ref="B85:E85"/>
    <mergeCell ref="A8:A10"/>
    <mergeCell ref="B8:B10"/>
    <mergeCell ref="C8:D10"/>
    <mergeCell ref="E8:E10"/>
    <mergeCell ref="B84:E84"/>
    <mergeCell ref="B86:E86"/>
  </mergeCells>
  <phoneticPr fontId="11" type="noConversion"/>
  <conditionalFormatting sqref="N11:N80">
    <cfRule type="cellIs" dxfId="8" priority="1" stopIfTrue="1" operator="lessThan">
      <formula>4</formula>
    </cfRule>
  </conditionalFormatting>
  <dataValidations count="3">
    <dataValidation type="decimal" allowBlank="1" showInputMessage="1" showErrorMessage="1" errorTitle="Nhap sai" error="Hãy nhập lại_x000a_0 ≤ Điểm ≤ 10" sqref="M11:M80">
      <formula1>0</formula1>
      <formula2>10</formula2>
    </dataValidation>
    <dataValidation type="whole" allowBlank="1" showInputMessage="1" showErrorMessage="1" errorTitle="Nhap sai" error="Hãy nhập lại_x000a_0 ≤ Điểm ≤ 10" sqref="K56:L80 F56:I80 F11:L55">
      <formula1>0</formula1>
      <formula2>10</formula2>
    </dataValidation>
    <dataValidation type="decimal" allowBlank="1" showInputMessage="1" showErrorMessage="1" sqref="J56:J80">
      <formula1>0</formula1>
      <formula2>10</formula2>
    </dataValidation>
  </dataValidations>
  <printOptions horizontalCentered="1"/>
  <pageMargins left="0.5" right="0" top="0.25" bottom="0.25" header="0.25" footer="0.25"/>
  <pageSetup paperSize="9" scale="90" orientation="portrait" horizontalDpi="1200" verticalDpi="12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Q90"/>
  <sheetViews>
    <sheetView view="pageBreakPreview" topLeftCell="A49" zoomScale="130" zoomScaleSheetLayoutView="130" workbookViewId="0">
      <selection activeCell="A60" sqref="A60:IV60"/>
    </sheetView>
  </sheetViews>
  <sheetFormatPr defaultRowHeight="12.75"/>
  <cols>
    <col min="1" max="1" width="3.85546875" style="136" bestFit="1" customWidth="1"/>
    <col min="2" max="2" width="10.7109375" style="136" customWidth="1"/>
    <col min="3" max="3" width="21.5703125" style="136" customWidth="1"/>
    <col min="4" max="4" width="7.5703125" style="136" bestFit="1" customWidth="1"/>
    <col min="5" max="12" width="6.42578125" style="136" customWidth="1"/>
    <col min="13" max="13" width="8.28515625" style="136" customWidth="1"/>
    <col min="14" max="14" width="6.5703125" style="136" customWidth="1"/>
    <col min="15" max="15" width="8.28515625" style="147" hidden="1" customWidth="1"/>
    <col min="16" max="17" width="6.28515625" style="147" hidden="1" customWidth="1"/>
    <col min="18" max="16384" width="9.140625" style="136"/>
  </cols>
  <sheetData>
    <row r="1" spans="1:17" ht="15.75">
      <c r="A1" s="633" t="s">
        <v>2695</v>
      </c>
      <c r="B1" s="633"/>
      <c r="C1" s="633"/>
      <c r="D1" s="633"/>
      <c r="E1" s="633"/>
      <c r="F1" s="633"/>
      <c r="G1" s="140"/>
      <c r="H1" s="632" t="s">
        <v>249</v>
      </c>
      <c r="I1" s="632"/>
      <c r="J1" s="632"/>
      <c r="K1" s="632"/>
      <c r="L1" s="632"/>
      <c r="M1" s="632"/>
      <c r="N1" s="632"/>
      <c r="O1" s="155"/>
      <c r="P1" s="136"/>
      <c r="Q1" s="136"/>
    </row>
    <row r="2" spans="1:17" ht="29.25" customHeight="1">
      <c r="A2" s="631" t="s">
        <v>2687</v>
      </c>
      <c r="B2" s="632"/>
      <c r="C2" s="632"/>
      <c r="D2" s="632"/>
      <c r="E2" s="632"/>
      <c r="F2" s="632"/>
      <c r="G2" s="157"/>
      <c r="H2" s="638" t="s">
        <v>250</v>
      </c>
      <c r="I2" s="638"/>
      <c r="J2" s="638"/>
      <c r="K2" s="638"/>
      <c r="L2" s="638"/>
      <c r="M2" s="638"/>
      <c r="N2" s="638"/>
      <c r="O2" s="155"/>
      <c r="P2" s="136"/>
      <c r="Q2" s="136"/>
    </row>
    <row r="3" spans="1:17" ht="19.5" customHeight="1">
      <c r="A3" s="657"/>
      <c r="B3" s="657"/>
      <c r="C3" s="657"/>
      <c r="D3" s="657"/>
      <c r="E3" s="657"/>
      <c r="F3" s="657"/>
      <c r="H3" s="156"/>
      <c r="I3" s="182"/>
      <c r="J3" s="156"/>
      <c r="K3" s="156"/>
      <c r="L3" s="137"/>
      <c r="M3" s="147"/>
      <c r="N3" s="147"/>
    </row>
    <row r="4" spans="1:17" ht="21" customHeight="1">
      <c r="A4" s="635" t="s">
        <v>251</v>
      </c>
      <c r="B4" s="635"/>
      <c r="C4" s="635"/>
      <c r="D4" s="635"/>
      <c r="E4" s="635"/>
      <c r="F4" s="635"/>
      <c r="G4" s="635"/>
      <c r="H4" s="635"/>
      <c r="I4" s="635"/>
      <c r="J4" s="635"/>
      <c r="K4" s="635"/>
      <c r="L4" s="635"/>
      <c r="M4" s="635"/>
      <c r="N4" s="635"/>
    </row>
    <row r="5" spans="1:17" ht="8.25" customHeight="1">
      <c r="A5" s="635"/>
      <c r="B5" s="635"/>
      <c r="C5" s="635"/>
      <c r="D5" s="635"/>
      <c r="E5" s="635"/>
      <c r="F5" s="635"/>
      <c r="G5" s="635"/>
      <c r="H5" s="635"/>
      <c r="I5" s="635"/>
      <c r="J5" s="635"/>
      <c r="K5" s="635"/>
      <c r="L5" s="635"/>
    </row>
    <row r="6" spans="1:17" s="139" customFormat="1" ht="17.25" customHeight="1">
      <c r="A6" s="656" t="s">
        <v>252</v>
      </c>
      <c r="B6" s="656"/>
      <c r="C6" s="637" t="str">
        <f>IF($L$6="","",IF(VLOOKUP($L$6,'LOP-MON'!$B$2:$N$43,5,FALSE)=0,"",VLOOKUP($L$6,'LOP-MON'!$B$2:$N$43,5,FALSE)))</f>
        <v>Nhà máy điện và trạm biến áp</v>
      </c>
      <c r="D6" s="637"/>
      <c r="E6" s="637"/>
      <c r="F6" s="637"/>
      <c r="G6" s="636" t="s">
        <v>271</v>
      </c>
      <c r="H6" s="636"/>
      <c r="I6" s="183">
        <f>IF(L6="","",IF(VLOOKUP(CONCATENATE("TC",MID(L6,1,4),MID(L6,6,3)),'LOP-MON'!$B$2:$N$43,5,FALSE)=0,"",VLOOKUP(CONCATENATE("TC",MID(L6,1,4),MID(L6,6,3)),'LOP-MON'!$B$2:$N$43,5,FALSE)))</f>
        <v>2</v>
      </c>
      <c r="K6" s="19" t="s">
        <v>187</v>
      </c>
      <c r="L6" s="637" t="str">
        <f>HKI!$D$3</f>
        <v>13CĐ-Đ1</v>
      </c>
      <c r="M6" s="637"/>
      <c r="O6" s="24"/>
      <c r="P6" s="24"/>
      <c r="Q6" s="24"/>
    </row>
    <row r="7" spans="1:17" s="140" customFormat="1" ht="17.25" customHeight="1">
      <c r="C7" s="141" t="s">
        <v>253</v>
      </c>
      <c r="D7" s="634" t="s">
        <v>2693</v>
      </c>
      <c r="E7" s="634"/>
      <c r="G7" s="172"/>
      <c r="H7" s="634" t="s">
        <v>254</v>
      </c>
      <c r="I7" s="634"/>
      <c r="J7" s="634" t="s">
        <v>2694</v>
      </c>
      <c r="K7" s="634"/>
      <c r="L7" s="634"/>
      <c r="N7" s="19"/>
      <c r="O7" s="100"/>
      <c r="P7" s="135"/>
      <c r="Q7" s="135"/>
    </row>
    <row r="8" spans="1:17" s="139" customFormat="1" ht="15" customHeight="1">
      <c r="A8" s="646" t="s">
        <v>255</v>
      </c>
      <c r="B8" s="646" t="s">
        <v>188</v>
      </c>
      <c r="C8" s="646" t="s">
        <v>189</v>
      </c>
      <c r="D8" s="646"/>
      <c r="E8" s="646" t="s">
        <v>259</v>
      </c>
      <c r="F8" s="640" t="s">
        <v>261</v>
      </c>
      <c r="G8" s="640" t="s">
        <v>262</v>
      </c>
      <c r="H8" s="640" t="s">
        <v>263</v>
      </c>
      <c r="I8" s="640" t="s">
        <v>264</v>
      </c>
      <c r="J8" s="640" t="s">
        <v>265</v>
      </c>
      <c r="K8" s="640" t="s">
        <v>266</v>
      </c>
      <c r="L8" s="640" t="s">
        <v>267</v>
      </c>
      <c r="M8" s="640" t="s">
        <v>268</v>
      </c>
      <c r="N8" s="640" t="s">
        <v>260</v>
      </c>
      <c r="O8" s="641" t="s">
        <v>258</v>
      </c>
      <c r="P8" s="641" t="s">
        <v>269</v>
      </c>
      <c r="Q8" s="641" t="s">
        <v>270</v>
      </c>
    </row>
    <row r="9" spans="1:17" s="24" customFormat="1" ht="28.5" customHeight="1">
      <c r="A9" s="646"/>
      <c r="B9" s="646"/>
      <c r="C9" s="646"/>
      <c r="D9" s="646"/>
      <c r="E9" s="646"/>
      <c r="F9" s="640"/>
      <c r="G9" s="640"/>
      <c r="H9" s="640"/>
      <c r="I9" s="640"/>
      <c r="J9" s="640"/>
      <c r="K9" s="640"/>
      <c r="L9" s="640"/>
      <c r="M9" s="640"/>
      <c r="N9" s="640"/>
      <c r="O9" s="641"/>
      <c r="P9" s="641"/>
      <c r="Q9" s="641"/>
    </row>
    <row r="10" spans="1:17" s="24" customFormat="1" ht="15.75">
      <c r="A10" s="646"/>
      <c r="B10" s="646"/>
      <c r="C10" s="646"/>
      <c r="D10" s="646"/>
      <c r="E10" s="646"/>
      <c r="F10" s="648">
        <v>0.2</v>
      </c>
      <c r="G10" s="640"/>
      <c r="H10" s="640"/>
      <c r="I10" s="640"/>
      <c r="J10" s="640"/>
      <c r="K10" s="640"/>
      <c r="L10" s="6">
        <v>0.3</v>
      </c>
      <c r="M10" s="6">
        <v>0.5</v>
      </c>
      <c r="N10" s="640"/>
      <c r="O10" s="641"/>
      <c r="P10" s="164">
        <v>0.5</v>
      </c>
      <c r="Q10" s="641"/>
    </row>
    <row r="11" spans="1:17" ht="18" customHeight="1">
      <c r="A11" s="123">
        <f>IF(OR($C$6="",$I$6="",$L$6=""),"",IF($B11="","",SUBTOTAL(3,$B$11:B11)))</f>
        <v>1</v>
      </c>
      <c r="B11" s="151" t="str">
        <f>IF(OR($C$6="",$I$6="",$L$6=""),"",IF(HKI!B11="","",HKI!B11))</f>
        <v>13D301Đ001</v>
      </c>
      <c r="C11" s="26" t="str">
        <f>IF(OR($C$6="",$I$6="",$L$6=""),"",IF(HKI!$C11="","",HKI!$C11))</f>
        <v>Lương Hoàng Thuận</v>
      </c>
      <c r="D11" s="152" t="str">
        <f>IF(OR($C$6="",$I$6="",$L$6=""),"",IF(HKI!$D11="","",HKI!$D11))</f>
        <v>An</v>
      </c>
      <c r="E11" s="459"/>
      <c r="F11" s="463">
        <v>7.5</v>
      </c>
      <c r="G11" s="460"/>
      <c r="H11" s="460"/>
      <c r="I11" s="460"/>
      <c r="J11" s="460"/>
      <c r="K11" s="460"/>
      <c r="L11" s="463">
        <v>7</v>
      </c>
      <c r="M11" s="464">
        <v>7</v>
      </c>
      <c r="N11" s="175">
        <f>IF(B11="","",IF(ISNUMBER(E11)=TRUE,E11,IF(COUNT(F11:M11)=0,"",IF(COUNT(F11:K11)=0,ROUND(0.3*L11+0.5*M11,1),ROUND(0.2*(SUM(F11:K11)/COUNT(F11:K11))+0.3*L11+0.5*M11,1)))))</f>
        <v>7.1</v>
      </c>
      <c r="O11" s="173" t="str">
        <f t="shared" ref="O11:O74" si="0">IF($B11="","",IF($N11="","KXL",IF($N11&lt;4,"Kém",IF($N11&lt;5.5,"TB Yếu",IF($N11&lt;7,"T.Bình",IF($N11&lt;8.5,"Khá","Giỏi"))))))</f>
        <v>Khá</v>
      </c>
      <c r="P11" s="174" t="str">
        <f>IF(OR($B11="",$C$6&lt;&gt;HKI!$T$6,HKI!$V11=""),"",HKI!$V11)</f>
        <v/>
      </c>
      <c r="Q11" s="174" t="str">
        <f>IF(OR(ISNUMBER($E11)=TRUE,$B11="",$P11=""),"",IF(COUNT($F11:$M11)=0,"",IF($M11&gt;=$P11,$N11,IF(COUNT($F11:$K11)=0,ROUND(0.3*$L11+0.5*$P11,1),ROUND(0.2*(SUM($F11:$K11)/COUNT($F11:$K11))+0.3*$L11+0.5*$P11,1)))))</f>
        <v/>
      </c>
    </row>
    <row r="12" spans="1:17" ht="18" customHeight="1">
      <c r="A12" s="123">
        <f>IF(OR($C$6="",$I$6="",$L$6=""),"",IF($B12="","",SUBTOTAL(3,$B$11:B12)))</f>
        <v>2</v>
      </c>
      <c r="B12" s="151" t="str">
        <f>IF(OR($C$6="",$I$6="",$L$6=""),"",IF(HKI!B12="","",HKI!B12))</f>
        <v>13D301Đ004</v>
      </c>
      <c r="C12" s="26" t="str">
        <f>IF(OR($C$6="",$I$6="",$L$6=""),"",IF(HKI!$C12="","",HKI!$C12))</f>
        <v>Đặng Thế</v>
      </c>
      <c r="D12" s="152" t="str">
        <f>IF(OR($C$6="",$I$6="",$L$6=""),"",IF(HKI!$D12="","",HKI!$D12))</f>
        <v>Anh</v>
      </c>
      <c r="E12" s="461"/>
      <c r="F12" s="463">
        <v>6.5</v>
      </c>
      <c r="G12" s="462"/>
      <c r="H12" s="462"/>
      <c r="I12" s="462"/>
      <c r="J12" s="462"/>
      <c r="K12" s="462"/>
      <c r="L12" s="463">
        <v>8</v>
      </c>
      <c r="M12" s="464">
        <v>6.5</v>
      </c>
      <c r="N12" s="175">
        <f t="shared" ref="N12:N75" si="1">IF(B12="","",IF(ISNUMBER(E12)=TRUE,E12,IF(COUNT(F12:M12)=0,"",IF(COUNT(F12:K12)=0,ROUND(0.3*L12+0.5*M12,1),ROUND(0.2*(SUM(F12:K12)/COUNT(F12:K12))+0.3*L12+0.5*M12,1)))))</f>
        <v>7</v>
      </c>
      <c r="O12" s="173" t="str">
        <f t="shared" si="0"/>
        <v>Khá</v>
      </c>
      <c r="P12" s="174" t="str">
        <f>IF(OR($B12="",$C$6&lt;&gt;HKI!$T$6,HKI!$V12=""),"",HKI!$V12)</f>
        <v/>
      </c>
      <c r="Q12" s="174" t="str">
        <f t="shared" ref="Q12:Q75" si="2">IF(OR(ISNUMBER($E12)=TRUE,$B12="",$P12=""),"",IF(COUNT($F12:$M12)=0,"",IF($M12&gt;=$P12,$N12,IF(COUNT($F12:$K12)=0,ROUND(0.3*$L12+0.5*$P12,1),ROUND(0.2*(SUM($F12:$K12)/COUNT($F12:$K12))+0.3*$L12+0.5*$P12,1)))))</f>
        <v/>
      </c>
    </row>
    <row r="13" spans="1:17" ht="18" customHeight="1">
      <c r="A13" s="123">
        <f>IF(OR($C$6="",$I$6="",$L$6=""),"",IF($B13="","",SUBTOTAL(3,$B$11:B13)))</f>
        <v>3</v>
      </c>
      <c r="B13" s="151" t="str">
        <f>IF(OR($C$6="",$I$6="",$L$6=""),"",IF(HKI!B13="","",HKI!B13))</f>
        <v>13D301Đ149</v>
      </c>
      <c r="C13" s="26" t="str">
        <f>IF(OR($C$6="",$I$6="",$L$6=""),"",IF(HKI!$C13="","",HKI!$C13))</f>
        <v>Đỗ Huỳnh</v>
      </c>
      <c r="D13" s="152" t="str">
        <f>IF(OR($C$6="",$I$6="",$L$6=""),"",IF(HKI!$D13="","",HKI!$D13))</f>
        <v>Bảo</v>
      </c>
      <c r="E13" s="461"/>
      <c r="F13" s="463">
        <v>9</v>
      </c>
      <c r="G13" s="462"/>
      <c r="H13" s="462"/>
      <c r="I13" s="462"/>
      <c r="J13" s="462"/>
      <c r="K13" s="462"/>
      <c r="L13" s="463">
        <v>8</v>
      </c>
      <c r="M13" s="464">
        <v>9</v>
      </c>
      <c r="N13" s="175">
        <f t="shared" si="1"/>
        <v>8.6999999999999993</v>
      </c>
      <c r="O13" s="173" t="str">
        <f t="shared" si="0"/>
        <v>Giỏi</v>
      </c>
      <c r="P13" s="174" t="str">
        <f>IF(OR($B13="",$C$6&lt;&gt;HKI!$T$6,HKI!$V13=""),"",HKI!$V13)</f>
        <v/>
      </c>
      <c r="Q13" s="174" t="str">
        <f t="shared" si="2"/>
        <v/>
      </c>
    </row>
    <row r="14" spans="1:17" ht="18" customHeight="1">
      <c r="A14" s="123">
        <f>IF(OR($C$6="",$I$6="",$L$6=""),"",IF($B14="","",SUBTOTAL(3,$B$11:B14)))</f>
        <v>4</v>
      </c>
      <c r="B14" s="151" t="str">
        <f>IF(OR($C$6="",$I$6="",$L$6=""),"",IF(HKI!B14="","",HKI!B14))</f>
        <v>13D301Đ008</v>
      </c>
      <c r="C14" s="26" t="str">
        <f>IF(OR($C$6="",$I$6="",$L$6=""),"",IF(HKI!$C14="","",HKI!$C14))</f>
        <v>Trương Vũ</v>
      </c>
      <c r="D14" s="152" t="str">
        <f>IF(OR($C$6="",$I$6="",$L$6=""),"",IF(HKI!$D14="","",HKI!$D14))</f>
        <v>Bảo</v>
      </c>
      <c r="E14" s="461"/>
      <c r="F14" s="463">
        <v>8</v>
      </c>
      <c r="G14" s="462"/>
      <c r="H14" s="462"/>
      <c r="I14" s="462"/>
      <c r="J14" s="462"/>
      <c r="K14" s="462"/>
      <c r="L14" s="463">
        <v>8</v>
      </c>
      <c r="M14" s="464">
        <v>9</v>
      </c>
      <c r="N14" s="175">
        <f t="shared" si="1"/>
        <v>8.5</v>
      </c>
      <c r="O14" s="173" t="str">
        <f t="shared" si="0"/>
        <v>Giỏi</v>
      </c>
      <c r="P14" s="174" t="str">
        <f>IF(OR($B14="",$C$6&lt;&gt;HKI!$T$6,HKI!$V14=""),"",HKI!$V14)</f>
        <v/>
      </c>
      <c r="Q14" s="174" t="str">
        <f t="shared" si="2"/>
        <v/>
      </c>
    </row>
    <row r="15" spans="1:17" ht="18" customHeight="1">
      <c r="A15" s="123">
        <f>IF(OR($C$6="",$I$6="",$L$6=""),"",IF($B15="","",SUBTOTAL(3,$B$11:B15)))</f>
        <v>5</v>
      </c>
      <c r="B15" s="151" t="str">
        <f>IF(OR($C$6="",$I$6="",$L$6=""),"",IF(HKI!B15="","",HKI!B15))</f>
        <v>13D301Đ009</v>
      </c>
      <c r="C15" s="26" t="str">
        <f>IF(OR($C$6="",$I$6="",$L$6=""),"",IF(HKI!$C15="","",HKI!$C15))</f>
        <v>Võ Thành</v>
      </c>
      <c r="D15" s="152" t="str">
        <f>IF(OR($C$6="",$I$6="",$L$6=""),"",IF(HKI!$D15="","",HKI!$D15))</f>
        <v>Bảo</v>
      </c>
      <c r="E15" s="461"/>
      <c r="F15" s="463">
        <v>7</v>
      </c>
      <c r="G15" s="462"/>
      <c r="H15" s="462"/>
      <c r="I15" s="462"/>
      <c r="J15" s="462"/>
      <c r="K15" s="462"/>
      <c r="L15" s="463">
        <v>7</v>
      </c>
      <c r="M15" s="464">
        <v>7</v>
      </c>
      <c r="N15" s="175">
        <f t="shared" si="1"/>
        <v>7</v>
      </c>
      <c r="O15" s="173" t="str">
        <f t="shared" si="0"/>
        <v>Khá</v>
      </c>
      <c r="P15" s="174" t="str">
        <f>IF(OR($B15="",$C$6&lt;&gt;HKI!$T$6,HKI!$V15=""),"",HKI!$V15)</f>
        <v/>
      </c>
      <c r="Q15" s="174" t="str">
        <f t="shared" si="2"/>
        <v/>
      </c>
    </row>
    <row r="16" spans="1:17" ht="18" customHeight="1">
      <c r="A16" s="123">
        <f>IF(OR($C$6="",$I$6="",$L$6=""),"",IF($B16="","",SUBTOTAL(3,$B$11:B16)))</f>
        <v>6</v>
      </c>
      <c r="B16" s="151" t="str">
        <f>IF(OR($C$6="",$I$6="",$L$6=""),"",IF(HKI!B16="","",HKI!B16))</f>
        <v>13D301Đ013</v>
      </c>
      <c r="C16" s="26" t="str">
        <f>IF(OR($C$6="",$I$6="",$L$6=""),"",IF(HKI!$C16="","",HKI!$C16))</f>
        <v>Nguyễn Chí</v>
      </c>
      <c r="D16" s="152" t="str">
        <f>IF(OR($C$6="",$I$6="",$L$6=""),"",IF(HKI!$D16="","",HKI!$D16))</f>
        <v>Bình</v>
      </c>
      <c r="E16" s="461"/>
      <c r="F16" s="463">
        <v>6</v>
      </c>
      <c r="G16" s="462"/>
      <c r="H16" s="462"/>
      <c r="I16" s="462"/>
      <c r="J16" s="462"/>
      <c r="K16" s="462"/>
      <c r="L16" s="463">
        <v>8</v>
      </c>
      <c r="M16" s="464">
        <v>5.5</v>
      </c>
      <c r="N16" s="175">
        <f t="shared" si="1"/>
        <v>6.4</v>
      </c>
      <c r="O16" s="173" t="str">
        <f t="shared" si="0"/>
        <v>T.Bình</v>
      </c>
      <c r="P16" s="174" t="str">
        <f>IF(OR($B16="",$C$6&lt;&gt;HKI!$T$6,HKI!$V16=""),"",HKI!$V16)</f>
        <v/>
      </c>
      <c r="Q16" s="174" t="str">
        <f t="shared" si="2"/>
        <v/>
      </c>
    </row>
    <row r="17" spans="1:17" ht="18" customHeight="1">
      <c r="A17" s="123">
        <f>IF(OR($C$6="",$I$6="",$L$6=""),"",IF($B17="","",SUBTOTAL(3,$B$11:B17)))</f>
        <v>7</v>
      </c>
      <c r="B17" s="151" t="str">
        <f>IF(OR($C$6="",$I$6="",$L$6=""),"",IF(HKI!B17="","",HKI!B17))</f>
        <v>13D301Đ016</v>
      </c>
      <c r="C17" s="26" t="str">
        <f>IF(OR($C$6="",$I$6="",$L$6=""),"",IF(HKI!$C17="","",HKI!$C17))</f>
        <v>Vũ Văn</v>
      </c>
      <c r="D17" s="152" t="str">
        <f>IF(OR($C$6="",$I$6="",$L$6=""),"",IF(HKI!$D17="","",HKI!$D17))</f>
        <v>Chiến</v>
      </c>
      <c r="E17" s="461"/>
      <c r="F17" s="463">
        <v>7</v>
      </c>
      <c r="G17" s="462"/>
      <c r="H17" s="462"/>
      <c r="I17" s="462"/>
      <c r="J17" s="462"/>
      <c r="K17" s="462"/>
      <c r="L17" s="463">
        <v>7</v>
      </c>
      <c r="M17" s="464">
        <v>5.5</v>
      </c>
      <c r="N17" s="175">
        <f t="shared" si="1"/>
        <v>6.3</v>
      </c>
      <c r="O17" s="173" t="str">
        <f t="shared" si="0"/>
        <v>T.Bình</v>
      </c>
      <c r="P17" s="174" t="str">
        <f>IF(OR($B17="",$C$6&lt;&gt;HKI!$T$6,HKI!$V17=""),"",HKI!$V17)</f>
        <v/>
      </c>
      <c r="Q17" s="174" t="str">
        <f t="shared" si="2"/>
        <v/>
      </c>
    </row>
    <row r="18" spans="1:17" ht="18" customHeight="1">
      <c r="A18" s="123">
        <f>IF(OR($C$6="",$I$6="",$L$6=""),"",IF($B18="","",SUBTOTAL(3,$B$11:B18)))</f>
        <v>8</v>
      </c>
      <c r="B18" s="151" t="str">
        <f>IF(OR($C$6="",$I$6="",$L$6=""),"",IF(HKI!B18="","",HKI!B18))</f>
        <v>13D301Đ017</v>
      </c>
      <c r="C18" s="26" t="str">
        <f>IF(OR($C$6="",$I$6="",$L$6=""),"",IF(HKI!$C18="","",HKI!$C18))</f>
        <v>Trần Văn</v>
      </c>
      <c r="D18" s="152" t="str">
        <f>IF(OR($C$6="",$I$6="",$L$6=""),"",IF(HKI!$D18="","",HKI!$D18))</f>
        <v>Chinh</v>
      </c>
      <c r="E18" s="461"/>
      <c r="F18" s="463">
        <v>5.5</v>
      </c>
      <c r="G18" s="462"/>
      <c r="H18" s="462"/>
      <c r="I18" s="462"/>
      <c r="J18" s="462"/>
      <c r="K18" s="462"/>
      <c r="L18" s="463">
        <v>7</v>
      </c>
      <c r="M18" s="464">
        <v>6.3</v>
      </c>
      <c r="N18" s="175">
        <f t="shared" si="1"/>
        <v>6.4</v>
      </c>
      <c r="O18" s="173" t="str">
        <f t="shared" si="0"/>
        <v>T.Bình</v>
      </c>
      <c r="P18" s="174" t="str">
        <f>IF(OR($B18="",$C$6&lt;&gt;HKI!$T$6,HKI!$V18=""),"",HKI!$V18)</f>
        <v/>
      </c>
      <c r="Q18" s="174" t="str">
        <f t="shared" si="2"/>
        <v/>
      </c>
    </row>
    <row r="19" spans="1:17" ht="18" customHeight="1">
      <c r="A19" s="123">
        <f>IF(OR($C$6="",$I$6="",$L$6=""),"",IF($B19="","",SUBTOTAL(3,$B$11:B19)))</f>
        <v>9</v>
      </c>
      <c r="B19" s="151" t="str">
        <f>IF(OR($C$6="",$I$6="",$L$6=""),"",IF(HKI!B19="","",HKI!B19))</f>
        <v>13D301Đ193</v>
      </c>
      <c r="C19" s="26" t="str">
        <f>IF(OR($C$6="",$I$6="",$L$6=""),"",IF(HKI!$C19="","",HKI!$C19))</f>
        <v>Phạm Công</v>
      </c>
      <c r="D19" s="152" t="str">
        <f>IF(OR($C$6="",$I$6="",$L$6=""),"",IF(HKI!$D19="","",HKI!$D19))</f>
        <v>Chính</v>
      </c>
      <c r="E19" s="461"/>
      <c r="F19" s="463">
        <v>5.5</v>
      </c>
      <c r="G19" s="462"/>
      <c r="H19" s="462"/>
      <c r="I19" s="462"/>
      <c r="J19" s="462"/>
      <c r="K19" s="462"/>
      <c r="L19" s="463">
        <v>7</v>
      </c>
      <c r="M19" s="464">
        <v>6.3</v>
      </c>
      <c r="N19" s="175">
        <f t="shared" si="1"/>
        <v>6.4</v>
      </c>
      <c r="O19" s="173" t="str">
        <f t="shared" si="0"/>
        <v>T.Bình</v>
      </c>
      <c r="P19" s="174" t="str">
        <f>IF(OR($B19="",$C$6&lt;&gt;HKI!$T$6,HKI!$V19=""),"",HKI!$V19)</f>
        <v/>
      </c>
      <c r="Q19" s="174" t="str">
        <f t="shared" si="2"/>
        <v/>
      </c>
    </row>
    <row r="20" spans="1:17" ht="18" customHeight="1">
      <c r="A20" s="123">
        <f>IF(OR($C$6="",$I$6="",$L$6=""),"",IF($B20="","",SUBTOTAL(3,$B$11:B20)))</f>
        <v>10</v>
      </c>
      <c r="B20" s="151" t="str">
        <f>IF(OR($C$6="",$I$6="",$L$6=""),"",IF(HKI!B20="","",HKI!B20))</f>
        <v>13D301Đ020</v>
      </c>
      <c r="C20" s="26" t="str">
        <f>IF(OR($C$6="",$I$6="",$L$6=""),"",IF(HKI!$C20="","",HKI!$C20))</f>
        <v>Trịnh Lê</v>
      </c>
      <c r="D20" s="152" t="str">
        <f>IF(OR($C$6="",$I$6="",$L$6=""),"",IF(HKI!$D20="","",HKI!$D20))</f>
        <v>Cung</v>
      </c>
      <c r="E20" s="461"/>
      <c r="F20" s="463">
        <v>7</v>
      </c>
      <c r="G20" s="462"/>
      <c r="H20" s="462"/>
      <c r="I20" s="462"/>
      <c r="J20" s="462"/>
      <c r="K20" s="462"/>
      <c r="L20" s="463">
        <v>8</v>
      </c>
      <c r="M20" s="464">
        <v>8.3000000000000007</v>
      </c>
      <c r="N20" s="175">
        <f t="shared" si="1"/>
        <v>8</v>
      </c>
      <c r="O20" s="173" t="str">
        <f t="shared" si="0"/>
        <v>Khá</v>
      </c>
      <c r="P20" s="174" t="str">
        <f>IF(OR($B20="",$C$6&lt;&gt;HKI!$T$6,HKI!$V20=""),"",HKI!$V20)</f>
        <v/>
      </c>
      <c r="Q20" s="174" t="str">
        <f t="shared" si="2"/>
        <v/>
      </c>
    </row>
    <row r="21" spans="1:17" ht="18" customHeight="1">
      <c r="A21" s="123">
        <f>IF(OR($C$6="",$I$6="",$L$6=""),"",IF($B21="","",SUBTOTAL(3,$B$11:B21)))</f>
        <v>11</v>
      </c>
      <c r="B21" s="151" t="str">
        <f>IF(OR($C$6="",$I$6="",$L$6=""),"",IF(HKI!B21="","",HKI!B21))</f>
        <v>13D301Đ021</v>
      </c>
      <c r="C21" s="26" t="str">
        <f>IF(OR($C$6="",$I$6="",$L$6=""),"",IF(HKI!$C21="","",HKI!$C21))</f>
        <v>Nguyễn Chí</v>
      </c>
      <c r="D21" s="152" t="str">
        <f>IF(OR($C$6="",$I$6="",$L$6=""),"",IF(HKI!$D21="","",HKI!$D21))</f>
        <v>Cường</v>
      </c>
      <c r="E21" s="461"/>
      <c r="F21" s="463">
        <v>6</v>
      </c>
      <c r="G21" s="462"/>
      <c r="H21" s="462"/>
      <c r="I21" s="462"/>
      <c r="J21" s="462"/>
      <c r="K21" s="462"/>
      <c r="L21" s="463">
        <v>8</v>
      </c>
      <c r="M21" s="464">
        <v>7.5</v>
      </c>
      <c r="N21" s="175">
        <f t="shared" si="1"/>
        <v>7.4</v>
      </c>
      <c r="O21" s="173" t="str">
        <f t="shared" si="0"/>
        <v>Khá</v>
      </c>
      <c r="P21" s="174" t="str">
        <f>IF(OR($B21="",$C$6&lt;&gt;HKI!$T$6,HKI!$V21=""),"",HKI!$V21)</f>
        <v/>
      </c>
      <c r="Q21" s="174" t="str">
        <f t="shared" si="2"/>
        <v/>
      </c>
    </row>
    <row r="22" spans="1:17" ht="18" customHeight="1">
      <c r="A22" s="123">
        <f>IF(OR($C$6="",$I$6="",$L$6=""),"",IF($B22="","",SUBTOTAL(3,$B$11:B22)))</f>
        <v>12</v>
      </c>
      <c r="B22" s="151" t="str">
        <f>IF(OR($C$6="",$I$6="",$L$6=""),"",IF(HKI!B22="","",HKI!B22))</f>
        <v>13D301Đ033</v>
      </c>
      <c r="C22" s="26" t="str">
        <f>IF(OR($C$6="",$I$6="",$L$6=""),"",IF(HKI!$C22="","",HKI!$C22))</f>
        <v xml:space="preserve">Trương Văn </v>
      </c>
      <c r="D22" s="152" t="str">
        <f>IF(OR($C$6="",$I$6="",$L$6=""),"",IF(HKI!$D22="","",HKI!$D22))</f>
        <v>Đạt</v>
      </c>
      <c r="E22" s="461"/>
      <c r="F22" s="463">
        <v>6</v>
      </c>
      <c r="G22" s="462"/>
      <c r="H22" s="462"/>
      <c r="I22" s="462"/>
      <c r="J22" s="462"/>
      <c r="K22" s="462"/>
      <c r="L22" s="463">
        <v>8</v>
      </c>
      <c r="M22" s="464">
        <v>9</v>
      </c>
      <c r="N22" s="175">
        <f t="shared" si="1"/>
        <v>8.1</v>
      </c>
      <c r="O22" s="173" t="str">
        <f t="shared" si="0"/>
        <v>Khá</v>
      </c>
      <c r="P22" s="174" t="str">
        <f>IF(OR($B22="",$C$6&lt;&gt;HKI!$T$6,HKI!$V22=""),"",HKI!$V22)</f>
        <v/>
      </c>
      <c r="Q22" s="174" t="str">
        <f t="shared" si="2"/>
        <v/>
      </c>
    </row>
    <row r="23" spans="1:17" ht="18" customHeight="1">
      <c r="A23" s="123">
        <f>IF(OR($C$6="",$I$6="",$L$6=""),"",IF($B23="","",SUBTOTAL(3,$B$11:B23)))</f>
        <v>13</v>
      </c>
      <c r="B23" s="151" t="str">
        <f>IF(OR($C$6="",$I$6="",$L$6=""),"",IF(HKI!B23="","",HKI!B23))</f>
        <v>13D301Đ037</v>
      </c>
      <c r="C23" s="26" t="str">
        <f>IF(OR($C$6="",$I$6="",$L$6=""),"",IF(HKI!$C23="","",HKI!$C23))</f>
        <v>Nguyễn Thành</v>
      </c>
      <c r="D23" s="152" t="str">
        <f>IF(OR($C$6="",$I$6="",$L$6=""),"",IF(HKI!$D23="","",HKI!$D23))</f>
        <v>Đông</v>
      </c>
      <c r="E23" s="461"/>
      <c r="F23" s="463">
        <v>7</v>
      </c>
      <c r="G23" s="462"/>
      <c r="H23" s="462"/>
      <c r="I23" s="462"/>
      <c r="J23" s="462"/>
      <c r="K23" s="462"/>
      <c r="L23" s="463">
        <v>7</v>
      </c>
      <c r="M23" s="464">
        <v>7.8</v>
      </c>
      <c r="N23" s="175">
        <f t="shared" si="1"/>
        <v>7.4</v>
      </c>
      <c r="O23" s="173" t="str">
        <f t="shared" si="0"/>
        <v>Khá</v>
      </c>
      <c r="P23" s="174" t="str">
        <f>IF(OR($B23="",$C$6&lt;&gt;HKI!$T$6,HKI!$V23=""),"",HKI!$V23)</f>
        <v/>
      </c>
      <c r="Q23" s="174" t="str">
        <f t="shared" si="2"/>
        <v/>
      </c>
    </row>
    <row r="24" spans="1:17" ht="18" customHeight="1">
      <c r="A24" s="123">
        <f>IF(OR($C$6="",$I$6="",$L$6=""),"",IF($B24="","",SUBTOTAL(3,$B$11:B24)))</f>
        <v>14</v>
      </c>
      <c r="B24" s="151" t="str">
        <f>IF(OR($C$6="",$I$6="",$L$6=""),"",IF(HKI!B24="","",HKI!B24))</f>
        <v>13D301Đ024</v>
      </c>
      <c r="C24" s="26" t="str">
        <f>IF(OR($C$6="",$I$6="",$L$6=""),"",IF(HKI!$C24="","",HKI!$C24))</f>
        <v xml:space="preserve">Trương Công </v>
      </c>
      <c r="D24" s="152" t="str">
        <f>IF(OR($C$6="",$I$6="",$L$6=""),"",IF(HKI!$D24="","",HKI!$D24))</f>
        <v>Duẩn</v>
      </c>
      <c r="E24" s="461"/>
      <c r="F24" s="463">
        <v>6.5</v>
      </c>
      <c r="G24" s="462"/>
      <c r="H24" s="462"/>
      <c r="I24" s="462"/>
      <c r="J24" s="462"/>
      <c r="K24" s="462"/>
      <c r="L24" s="463">
        <v>8</v>
      </c>
      <c r="M24" s="464">
        <v>7</v>
      </c>
      <c r="N24" s="175">
        <f t="shared" si="1"/>
        <v>7.2</v>
      </c>
      <c r="O24" s="173" t="str">
        <f t="shared" si="0"/>
        <v>Khá</v>
      </c>
      <c r="P24" s="174" t="str">
        <f>IF(OR($B24="",$C$6&lt;&gt;HKI!$T$6,HKI!$V24=""),"",HKI!$V24)</f>
        <v/>
      </c>
      <c r="Q24" s="174" t="str">
        <f t="shared" si="2"/>
        <v/>
      </c>
    </row>
    <row r="25" spans="1:17" ht="18" customHeight="1">
      <c r="A25" s="123">
        <f>IF(OR($C$6="",$I$6="",$L$6=""),"",IF($B25="","",SUBTOTAL(3,$B$11:B25)))</f>
        <v>15</v>
      </c>
      <c r="B25" s="151" t="str">
        <f>IF(OR($C$6="",$I$6="",$L$6=""),"",IF(HKI!B25="","",HKI!B25))</f>
        <v>13D301Đ191</v>
      </c>
      <c r="C25" s="26" t="str">
        <f>IF(OR($C$6="",$I$6="",$L$6=""),"",IF(HKI!$C25="","",HKI!$C25))</f>
        <v>Nguyễn Hiền</v>
      </c>
      <c r="D25" s="152" t="str">
        <f>IF(OR($C$6="",$I$6="",$L$6=""),"",IF(HKI!$D25="","",HKI!$D25))</f>
        <v>Đức</v>
      </c>
      <c r="E25" s="461"/>
      <c r="F25" s="463">
        <v>6</v>
      </c>
      <c r="G25" s="462"/>
      <c r="H25" s="462"/>
      <c r="I25" s="462"/>
      <c r="J25" s="462"/>
      <c r="K25" s="462"/>
      <c r="L25" s="463">
        <v>7</v>
      </c>
      <c r="M25" s="464">
        <v>9</v>
      </c>
      <c r="N25" s="175">
        <f t="shared" si="1"/>
        <v>7.8</v>
      </c>
      <c r="O25" s="173" t="str">
        <f t="shared" si="0"/>
        <v>Khá</v>
      </c>
      <c r="P25" s="174" t="str">
        <f>IF(OR($B25="",$C$6&lt;&gt;HKI!$T$6,HKI!$V25=""),"",HKI!$V25)</f>
        <v/>
      </c>
      <c r="Q25" s="174" t="str">
        <f t="shared" si="2"/>
        <v/>
      </c>
    </row>
    <row r="26" spans="1:17" ht="18" customHeight="1">
      <c r="A26" s="123">
        <f>IF(OR($C$6="",$I$6="",$L$6=""),"",IF($B26="","",SUBTOTAL(3,$B$11:B26)))</f>
        <v>16</v>
      </c>
      <c r="B26" s="151" t="str">
        <f>IF(OR($C$6="",$I$6="",$L$6=""),"",IF(HKI!B26="","",HKI!B26))</f>
        <v>13D301Đ040</v>
      </c>
      <c r="C26" s="26" t="str">
        <f>IF(OR($C$6="",$I$6="",$L$6=""),"",IF(HKI!$C26="","",HKI!$C26))</f>
        <v>Nguyễn Văn</v>
      </c>
      <c r="D26" s="152" t="str">
        <f>IF(OR($C$6="",$I$6="",$L$6=""),"",IF(HKI!$D26="","",HKI!$D26))</f>
        <v>Đức</v>
      </c>
      <c r="E26" s="461"/>
      <c r="F26" s="463">
        <v>8.5</v>
      </c>
      <c r="G26" s="462"/>
      <c r="H26" s="462"/>
      <c r="I26" s="462"/>
      <c r="J26" s="462"/>
      <c r="K26" s="462"/>
      <c r="L26" s="463">
        <v>8</v>
      </c>
      <c r="M26" s="464">
        <v>6.5</v>
      </c>
      <c r="N26" s="175">
        <f t="shared" si="1"/>
        <v>7.4</v>
      </c>
      <c r="O26" s="173" t="str">
        <f t="shared" si="0"/>
        <v>Khá</v>
      </c>
      <c r="P26" s="174" t="str">
        <f>IF(OR($B26="",$C$6&lt;&gt;HKI!$T$6,HKI!$V26=""),"",HKI!$V26)</f>
        <v/>
      </c>
      <c r="Q26" s="174" t="str">
        <f t="shared" si="2"/>
        <v/>
      </c>
    </row>
    <row r="27" spans="1:17" ht="18" customHeight="1">
      <c r="A27" s="123">
        <f>IF(OR($C$6="",$I$6="",$L$6=""),"",IF($B27="","",SUBTOTAL(3,$B$11:B27)))</f>
        <v>17</v>
      </c>
      <c r="B27" s="151" t="str">
        <f>IF(OR($C$6="",$I$6="",$L$6=""),"",IF(HKI!B27="","",HKI!B27))</f>
        <v>13D301Đ025</v>
      </c>
      <c r="C27" s="26" t="str">
        <f>IF(OR($C$6="",$I$6="",$L$6=""),"",IF(HKI!$C27="","",HKI!$C27))</f>
        <v>Nguyễn Ngọc</v>
      </c>
      <c r="D27" s="152" t="str">
        <f>IF(OR($C$6="",$I$6="",$L$6=""),"",IF(HKI!$D27="","",HKI!$D27))</f>
        <v>Dũng</v>
      </c>
      <c r="E27" s="461"/>
      <c r="F27" s="463">
        <v>7</v>
      </c>
      <c r="G27" s="462"/>
      <c r="H27" s="462"/>
      <c r="I27" s="462"/>
      <c r="J27" s="462"/>
      <c r="K27" s="462"/>
      <c r="L27" s="463">
        <v>5</v>
      </c>
      <c r="M27" s="464">
        <v>7.5</v>
      </c>
      <c r="N27" s="175">
        <f t="shared" si="1"/>
        <v>6.7</v>
      </c>
      <c r="O27" s="173" t="str">
        <f t="shared" si="0"/>
        <v>T.Bình</v>
      </c>
      <c r="P27" s="174" t="str">
        <f>IF(OR($B27="",$C$6&lt;&gt;HKI!$T$6,HKI!$V27=""),"",HKI!$V27)</f>
        <v/>
      </c>
      <c r="Q27" s="174" t="str">
        <f t="shared" si="2"/>
        <v/>
      </c>
    </row>
    <row r="28" spans="1:17" ht="18" customHeight="1">
      <c r="A28" s="123">
        <f>IF(OR($C$6="",$I$6="",$L$6=""),"",IF($B28="","",SUBTOTAL(3,$B$11:B28)))</f>
        <v>18</v>
      </c>
      <c r="B28" s="151" t="str">
        <f>IF(OR($C$6="",$I$6="",$L$6=""),"",IF(HKI!B28="","",HKI!B28))</f>
        <v>13D301Đ192</v>
      </c>
      <c r="C28" s="26" t="str">
        <f>IF(OR($C$6="",$I$6="",$L$6=""),"",IF(HKI!$C28="","",HKI!$C28))</f>
        <v>Cao Trùng</v>
      </c>
      <c r="D28" s="152" t="str">
        <f>IF(OR($C$6="",$I$6="",$L$6=""),"",IF(HKI!$D28="","",HKI!$D28))</f>
        <v>Dương</v>
      </c>
      <c r="E28" s="461"/>
      <c r="F28" s="463">
        <v>7.5</v>
      </c>
      <c r="G28" s="462"/>
      <c r="H28" s="462"/>
      <c r="I28" s="462"/>
      <c r="J28" s="462"/>
      <c r="K28" s="462"/>
      <c r="L28" s="463">
        <v>8</v>
      </c>
      <c r="M28" s="464">
        <v>9</v>
      </c>
      <c r="N28" s="175">
        <f t="shared" si="1"/>
        <v>8.4</v>
      </c>
      <c r="O28" s="173" t="str">
        <f t="shared" si="0"/>
        <v>Khá</v>
      </c>
      <c r="P28" s="174" t="str">
        <f>IF(OR($B28="",$C$6&lt;&gt;HKI!$T$6,HKI!$V28=""),"",HKI!$V28)</f>
        <v/>
      </c>
      <c r="Q28" s="174" t="str">
        <f t="shared" si="2"/>
        <v/>
      </c>
    </row>
    <row r="29" spans="1:17" ht="18" customHeight="1">
      <c r="A29" s="123">
        <f>IF(OR($C$6="",$I$6="",$L$6=""),"",IF($B29="","",SUBTOTAL(3,$B$11:B29)))</f>
        <v>19</v>
      </c>
      <c r="B29" s="151" t="str">
        <f>IF(OR($C$6="",$I$6="",$L$6=""),"",IF(HKI!B29="","",HKI!B29))</f>
        <v>13D301Đ028</v>
      </c>
      <c r="C29" s="26" t="str">
        <f>IF(OR($C$6="",$I$6="",$L$6=""),"",IF(HKI!$C29="","",HKI!$C29))</f>
        <v>Hoàng Văn</v>
      </c>
      <c r="D29" s="152" t="str">
        <f>IF(OR($C$6="",$I$6="",$L$6=""),"",IF(HKI!$D29="","",HKI!$D29))</f>
        <v>Duy</v>
      </c>
      <c r="E29" s="461"/>
      <c r="F29" s="463">
        <v>5.5</v>
      </c>
      <c r="G29" s="462"/>
      <c r="H29" s="462"/>
      <c r="I29" s="462"/>
      <c r="J29" s="462"/>
      <c r="K29" s="462"/>
      <c r="L29" s="463">
        <v>7</v>
      </c>
      <c r="M29" s="464">
        <v>7.3</v>
      </c>
      <c r="N29" s="175">
        <f t="shared" si="1"/>
        <v>6.9</v>
      </c>
      <c r="O29" s="173" t="str">
        <f t="shared" si="0"/>
        <v>T.Bình</v>
      </c>
      <c r="P29" s="174" t="str">
        <f>IF(OR($B29="",$C$6&lt;&gt;HKI!$T$6,HKI!$V29=""),"",HKI!$V29)</f>
        <v/>
      </c>
      <c r="Q29" s="174" t="str">
        <f t="shared" si="2"/>
        <v/>
      </c>
    </row>
    <row r="30" spans="1:17" ht="18" customHeight="1">
      <c r="A30" s="123">
        <f>IF(OR($C$6="",$I$6="",$L$6=""),"",IF($B30="","",SUBTOTAL(3,$B$11:B30)))</f>
        <v>20</v>
      </c>
      <c r="B30" s="151" t="str">
        <f>IF(OR($C$6="",$I$6="",$L$6=""),"",IF(HKI!B30="","",HKI!B30))</f>
        <v>13D301Đ181</v>
      </c>
      <c r="C30" s="26" t="str">
        <f>IF(OR($C$6="",$I$6="",$L$6=""),"",IF(HKI!$C30="","",HKI!$C30))</f>
        <v>Lâm Văn</v>
      </c>
      <c r="D30" s="152" t="str">
        <f>IF(OR($C$6="",$I$6="",$L$6=""),"",IF(HKI!$D30="","",HKI!$D30))</f>
        <v>Duy</v>
      </c>
      <c r="E30" s="461"/>
      <c r="F30" s="463">
        <v>5</v>
      </c>
      <c r="G30" s="462"/>
      <c r="H30" s="462"/>
      <c r="I30" s="462"/>
      <c r="J30" s="462"/>
      <c r="K30" s="462"/>
      <c r="L30" s="463">
        <v>7</v>
      </c>
      <c r="M30" s="464">
        <v>5.5</v>
      </c>
      <c r="N30" s="175">
        <f t="shared" si="1"/>
        <v>5.9</v>
      </c>
      <c r="O30" s="173" t="str">
        <f t="shared" si="0"/>
        <v>T.Bình</v>
      </c>
      <c r="P30" s="174" t="str">
        <f>IF(OR($B30="",$C$6&lt;&gt;HKI!$T$6,HKI!$V30=""),"",HKI!$V30)</f>
        <v/>
      </c>
      <c r="Q30" s="174" t="str">
        <f t="shared" si="2"/>
        <v/>
      </c>
    </row>
    <row r="31" spans="1:17" ht="18" customHeight="1">
      <c r="A31" s="123">
        <f>IF(OR($C$6="",$I$6="",$L$6=""),"",IF($B31="","",SUBTOTAL(3,$B$11:B31)))</f>
        <v>21</v>
      </c>
      <c r="B31" s="151" t="str">
        <f>IF(OR($C$6="",$I$6="",$L$6=""),"",IF(HKI!B31="","",HKI!B31))</f>
        <v>13D301Đ041</v>
      </c>
      <c r="C31" s="26" t="str">
        <f>IF(OR($C$6="",$I$6="",$L$6=""),"",IF(HKI!$C31="","",HKI!$C31))</f>
        <v>Lê Hoàng</v>
      </c>
      <c r="D31" s="152" t="str">
        <f>IF(OR($C$6="",$I$6="",$L$6=""),"",IF(HKI!$D31="","",HKI!$D31))</f>
        <v>Giang</v>
      </c>
      <c r="E31" s="461"/>
      <c r="F31" s="463">
        <v>6.5</v>
      </c>
      <c r="G31" s="462"/>
      <c r="H31" s="462"/>
      <c r="I31" s="462"/>
      <c r="J31" s="462"/>
      <c r="K31" s="462"/>
      <c r="L31" s="463">
        <v>6</v>
      </c>
      <c r="M31" s="464">
        <v>4.8</v>
      </c>
      <c r="N31" s="175">
        <f t="shared" si="1"/>
        <v>5.5</v>
      </c>
      <c r="O31" s="173" t="str">
        <f t="shared" si="0"/>
        <v>T.Bình</v>
      </c>
      <c r="P31" s="174" t="str">
        <f>IF(OR($B31="",$C$6&lt;&gt;HKI!$T$6,HKI!$V31=""),"",HKI!$V31)</f>
        <v/>
      </c>
      <c r="Q31" s="174" t="str">
        <f t="shared" si="2"/>
        <v/>
      </c>
    </row>
    <row r="32" spans="1:17" ht="18" customHeight="1">
      <c r="A32" s="123">
        <f>IF(OR($C$6="",$I$6="",$L$6=""),"",IF($B32="","",SUBTOTAL(3,$B$11:B32)))</f>
        <v>22</v>
      </c>
      <c r="B32" s="151" t="str">
        <f>IF(OR($C$6="",$I$6="",$L$6=""),"",IF(HKI!B32="","",HKI!B32))</f>
        <v>13D301Đ045</v>
      </c>
      <c r="C32" s="26" t="str">
        <f>IF(OR($C$6="",$I$6="",$L$6=""),"",IF(HKI!$C32="","",HKI!$C32))</f>
        <v>Lê Công</v>
      </c>
      <c r="D32" s="152" t="str">
        <f>IF(OR($C$6="",$I$6="",$L$6=""),"",IF(HKI!$D32="","",HKI!$D32))</f>
        <v>Hậu</v>
      </c>
      <c r="E32" s="461"/>
      <c r="F32" s="463">
        <v>6</v>
      </c>
      <c r="G32" s="462"/>
      <c r="H32" s="462"/>
      <c r="I32" s="462"/>
      <c r="J32" s="462"/>
      <c r="K32" s="462"/>
      <c r="L32" s="463">
        <v>7</v>
      </c>
      <c r="M32" s="464">
        <v>8</v>
      </c>
      <c r="N32" s="175">
        <f t="shared" si="1"/>
        <v>7.3</v>
      </c>
      <c r="O32" s="173" t="str">
        <f t="shared" si="0"/>
        <v>Khá</v>
      </c>
      <c r="P32" s="174" t="str">
        <f>IF(OR($B32="",$C$6&lt;&gt;HKI!$T$6,HKI!$V32=""),"",HKI!$V32)</f>
        <v/>
      </c>
      <c r="Q32" s="174" t="str">
        <f t="shared" si="2"/>
        <v/>
      </c>
    </row>
    <row r="33" spans="1:17" ht="18" customHeight="1">
      <c r="A33" s="123">
        <f>IF(OR($C$6="",$I$6="",$L$6=""),"",IF($B33="","",SUBTOTAL(3,$B$11:B33)))</f>
        <v>23</v>
      </c>
      <c r="B33" s="151" t="str">
        <f>IF(OR($C$6="",$I$6="",$L$6=""),"",IF(HKI!B33="","",HKI!B33))</f>
        <v>13D301Đ048</v>
      </c>
      <c r="C33" s="26" t="str">
        <f>IF(OR($C$6="",$I$6="",$L$6=""),"",IF(HKI!$C33="","",HKI!$C33))</f>
        <v>Hồ Văn</v>
      </c>
      <c r="D33" s="152" t="str">
        <f>IF(OR($C$6="",$I$6="",$L$6=""),"",IF(HKI!$D33="","",HKI!$D33))</f>
        <v>Hiệp</v>
      </c>
      <c r="E33" s="461"/>
      <c r="F33" s="463">
        <v>6.5</v>
      </c>
      <c r="G33" s="462"/>
      <c r="H33" s="462"/>
      <c r="I33" s="462"/>
      <c r="J33" s="462"/>
      <c r="K33" s="462"/>
      <c r="L33" s="463">
        <v>8</v>
      </c>
      <c r="M33" s="464">
        <v>9</v>
      </c>
      <c r="N33" s="175">
        <f t="shared" si="1"/>
        <v>8.1999999999999993</v>
      </c>
      <c r="O33" s="173" t="str">
        <f t="shared" si="0"/>
        <v>Khá</v>
      </c>
      <c r="P33" s="174" t="str">
        <f>IF(OR($B33="",$C$6&lt;&gt;HKI!$T$6,HKI!$V33=""),"",HKI!$V33)</f>
        <v/>
      </c>
      <c r="Q33" s="174" t="str">
        <f t="shared" si="2"/>
        <v/>
      </c>
    </row>
    <row r="34" spans="1:17" ht="18" customHeight="1">
      <c r="A34" s="123">
        <f>IF(OR($C$6="",$I$6="",$L$6=""),"",IF($B34="","",SUBTOTAL(3,$B$11:B34)))</f>
        <v>24</v>
      </c>
      <c r="B34" s="151" t="str">
        <f>IF(OR($C$6="",$I$6="",$L$6=""),"",IF(HKI!B34="","",HKI!B34))</f>
        <v>13D301Đ049</v>
      </c>
      <c r="C34" s="26" t="str">
        <f>IF(OR($C$6="",$I$6="",$L$6=""),"",IF(HKI!$C34="","",HKI!$C34))</f>
        <v>Lê Minh</v>
      </c>
      <c r="D34" s="152" t="str">
        <f>IF(OR($C$6="",$I$6="",$L$6=""),"",IF(HKI!$D34="","",HKI!$D34))</f>
        <v>Hiếu</v>
      </c>
      <c r="E34" s="461"/>
      <c r="F34" s="463">
        <v>6.5</v>
      </c>
      <c r="G34" s="462"/>
      <c r="H34" s="462"/>
      <c r="I34" s="462"/>
      <c r="J34" s="462"/>
      <c r="K34" s="462"/>
      <c r="L34" s="463">
        <v>9</v>
      </c>
      <c r="M34" s="464">
        <v>7.5</v>
      </c>
      <c r="N34" s="175">
        <f t="shared" si="1"/>
        <v>7.8</v>
      </c>
      <c r="O34" s="173" t="str">
        <f t="shared" si="0"/>
        <v>Khá</v>
      </c>
      <c r="P34" s="174" t="str">
        <f>IF(OR($B34="",$C$6&lt;&gt;HKI!$T$6,HKI!$V34=""),"",HKI!$V34)</f>
        <v/>
      </c>
      <c r="Q34" s="174" t="str">
        <f t="shared" si="2"/>
        <v/>
      </c>
    </row>
    <row r="35" spans="1:17" ht="18" customHeight="1">
      <c r="A35" s="123">
        <f>IF(OR($C$6="",$I$6="",$L$6=""),"",IF($B35="","",SUBTOTAL(3,$B$11:B35)))</f>
        <v>25</v>
      </c>
      <c r="B35" s="151" t="str">
        <f>IF(OR($C$6="",$I$6="",$L$6=""),"",IF(HKI!B35="","",HKI!B35))</f>
        <v>13D301Đ053</v>
      </c>
      <c r="C35" s="26" t="str">
        <f>IF(OR($C$6="",$I$6="",$L$6=""),"",IF(HKI!$C35="","",HKI!$C35))</f>
        <v>Nguyễn Ngọc</v>
      </c>
      <c r="D35" s="152" t="str">
        <f>IF(OR($C$6="",$I$6="",$L$6=""),"",IF(HKI!$D35="","",HKI!$D35))</f>
        <v>Hoài</v>
      </c>
      <c r="E35" s="461"/>
      <c r="F35" s="463">
        <v>7.5</v>
      </c>
      <c r="G35" s="462"/>
      <c r="H35" s="462"/>
      <c r="I35" s="462"/>
      <c r="J35" s="462"/>
      <c r="K35" s="462"/>
      <c r="L35" s="463">
        <v>8</v>
      </c>
      <c r="M35" s="464">
        <v>8</v>
      </c>
      <c r="N35" s="175">
        <f t="shared" si="1"/>
        <v>7.9</v>
      </c>
      <c r="O35" s="173" t="str">
        <f t="shared" si="0"/>
        <v>Khá</v>
      </c>
      <c r="P35" s="174" t="str">
        <f>IF(OR($B35="",$C$6&lt;&gt;HKI!$T$6,HKI!$V35=""),"",HKI!$V35)</f>
        <v/>
      </c>
      <c r="Q35" s="174" t="str">
        <f t="shared" si="2"/>
        <v/>
      </c>
    </row>
    <row r="36" spans="1:17" ht="18" customHeight="1">
      <c r="A36" s="123">
        <f>IF(OR($C$6="",$I$6="",$L$6=""),"",IF($B36="","",SUBTOTAL(3,$B$11:B36)))</f>
        <v>26</v>
      </c>
      <c r="B36" s="151" t="str">
        <f>IF(OR($C$6="",$I$6="",$L$6=""),"",IF(HKI!B36="","",HKI!B36))</f>
        <v>13D301Đ056</v>
      </c>
      <c r="C36" s="26" t="str">
        <f>IF(OR($C$6="",$I$6="",$L$6=""),"",IF(HKI!$C36="","",HKI!$C36))</f>
        <v>Trần Huy</v>
      </c>
      <c r="D36" s="152" t="str">
        <f>IF(OR($C$6="",$I$6="",$L$6=""),"",IF(HKI!$D36="","",HKI!$D36))</f>
        <v>Hoàng</v>
      </c>
      <c r="E36" s="461"/>
      <c r="F36" s="463">
        <v>8</v>
      </c>
      <c r="G36" s="462"/>
      <c r="H36" s="462"/>
      <c r="I36" s="462"/>
      <c r="J36" s="462"/>
      <c r="K36" s="462"/>
      <c r="L36" s="463">
        <v>8</v>
      </c>
      <c r="M36" s="464">
        <v>8</v>
      </c>
      <c r="N36" s="175">
        <f t="shared" si="1"/>
        <v>8</v>
      </c>
      <c r="O36" s="173" t="str">
        <f t="shared" si="0"/>
        <v>Khá</v>
      </c>
      <c r="P36" s="174" t="str">
        <f>IF(OR($B36="",$C$6&lt;&gt;HKI!$T$6,HKI!$V36=""),"",HKI!$V36)</f>
        <v/>
      </c>
      <c r="Q36" s="174" t="str">
        <f t="shared" si="2"/>
        <v/>
      </c>
    </row>
    <row r="37" spans="1:17" ht="18" customHeight="1">
      <c r="A37" s="123">
        <f>IF(OR($C$6="",$I$6="",$L$6=""),"",IF($B37="","",SUBTOTAL(3,$B$11:B37)))</f>
        <v>27</v>
      </c>
      <c r="B37" s="151" t="str">
        <f>IF(OR($C$6="",$I$6="",$L$6=""),"",IF(HKI!B37="","",HKI!B37))</f>
        <v>13D301Đ057</v>
      </c>
      <c r="C37" s="26" t="str">
        <f>IF(OR($C$6="",$I$6="",$L$6=""),"",IF(HKI!$C37="","",HKI!$C37))</f>
        <v>Trịnh Thanh</v>
      </c>
      <c r="D37" s="152" t="str">
        <f>IF(OR($C$6="",$I$6="",$L$6=""),"",IF(HKI!$D37="","",HKI!$D37))</f>
        <v>Hoàng</v>
      </c>
      <c r="E37" s="461"/>
      <c r="F37" s="463">
        <v>7.5</v>
      </c>
      <c r="G37" s="462"/>
      <c r="H37" s="462"/>
      <c r="I37" s="462"/>
      <c r="J37" s="462"/>
      <c r="K37" s="462"/>
      <c r="L37" s="463">
        <v>8</v>
      </c>
      <c r="M37" s="464">
        <v>8.5</v>
      </c>
      <c r="N37" s="175">
        <f t="shared" si="1"/>
        <v>8.1999999999999993</v>
      </c>
      <c r="O37" s="173" t="str">
        <f t="shared" si="0"/>
        <v>Khá</v>
      </c>
      <c r="P37" s="174" t="str">
        <f>IF(OR($B37="",$C$6&lt;&gt;HKI!$T$6,HKI!$V37=""),"",HKI!$V37)</f>
        <v/>
      </c>
      <c r="Q37" s="174" t="str">
        <f t="shared" si="2"/>
        <v/>
      </c>
    </row>
    <row r="38" spans="1:17" ht="18" customHeight="1">
      <c r="A38" s="123">
        <f>IF(OR($C$6="",$I$6="",$L$6=""),"",IF($B38="","",SUBTOTAL(3,$B$11:B38)))</f>
        <v>28</v>
      </c>
      <c r="B38" s="151" t="str">
        <f>IF(OR($C$6="",$I$6="",$L$6=""),"",IF(HKI!B38="","",HKI!B38))</f>
        <v>13D301Đ201</v>
      </c>
      <c r="C38" s="26" t="str">
        <f>IF(OR($C$6="",$I$6="",$L$6=""),"",IF(HKI!$C38="","",HKI!$C38))</f>
        <v>Nguyễn Quang</v>
      </c>
      <c r="D38" s="152" t="str">
        <f>IF(OR($C$6="",$I$6="",$L$6=""),"",IF(HKI!$D38="","",HKI!$D38))</f>
        <v>Huân</v>
      </c>
      <c r="E38" s="461"/>
      <c r="F38" s="463">
        <v>0</v>
      </c>
      <c r="G38" s="462"/>
      <c r="H38" s="462"/>
      <c r="I38" s="462"/>
      <c r="J38" s="462"/>
      <c r="K38" s="462"/>
      <c r="L38" s="463">
        <v>0</v>
      </c>
      <c r="M38" s="465">
        <v>0</v>
      </c>
      <c r="N38" s="175">
        <f t="shared" si="1"/>
        <v>0</v>
      </c>
      <c r="O38" s="173" t="str">
        <f t="shared" si="0"/>
        <v>Kém</v>
      </c>
      <c r="P38" s="174" t="str">
        <f>IF(OR($B38="",$C$6&lt;&gt;HKI!$T$6,HKI!$V38=""),"",HKI!$V38)</f>
        <v/>
      </c>
      <c r="Q38" s="174" t="str">
        <f t="shared" si="2"/>
        <v/>
      </c>
    </row>
    <row r="39" spans="1:17" ht="18" customHeight="1">
      <c r="A39" s="123">
        <f>IF(OR($C$6="",$I$6="",$L$6=""),"",IF($B39="","",SUBTOTAL(3,$B$11:B39)))</f>
        <v>29</v>
      </c>
      <c r="B39" s="151" t="str">
        <f>IF(OR($C$6="",$I$6="",$L$6=""),"",IF(HKI!B39="","",HKI!B39))</f>
        <v>13D301Đ061</v>
      </c>
      <c r="C39" s="26" t="str">
        <f>IF(OR($C$6="",$I$6="",$L$6=""),"",IF(HKI!$C39="","",HKI!$C39))</f>
        <v>Huỳnh Thanh</v>
      </c>
      <c r="D39" s="152" t="str">
        <f>IF(OR($C$6="",$I$6="",$L$6=""),"",IF(HKI!$D39="","",HKI!$D39))</f>
        <v>Hùng</v>
      </c>
      <c r="E39" s="461"/>
      <c r="F39" s="463">
        <v>4</v>
      </c>
      <c r="G39" s="462"/>
      <c r="H39" s="462"/>
      <c r="I39" s="462"/>
      <c r="J39" s="462"/>
      <c r="K39" s="462"/>
      <c r="L39" s="463">
        <v>7</v>
      </c>
      <c r="M39" s="464">
        <v>7</v>
      </c>
      <c r="N39" s="175">
        <f t="shared" si="1"/>
        <v>6.4</v>
      </c>
      <c r="O39" s="173" t="str">
        <f t="shared" si="0"/>
        <v>T.Bình</v>
      </c>
      <c r="P39" s="174" t="str">
        <f>IF(OR($B39="",$C$6&lt;&gt;HKI!$T$6,HKI!$V39=""),"",HKI!$V39)</f>
        <v/>
      </c>
      <c r="Q39" s="174" t="str">
        <f t="shared" si="2"/>
        <v/>
      </c>
    </row>
    <row r="40" spans="1:17" ht="18" customHeight="1">
      <c r="A40" s="123">
        <f>IF(OR($C$6="",$I$6="",$L$6=""),"",IF($B40="","",SUBTOTAL(3,$B$11:B40)))</f>
        <v>30</v>
      </c>
      <c r="B40" s="151" t="str">
        <f>IF(OR($C$6="",$I$6="",$L$6=""),"",IF(HKI!B40="","",HKI!B40))</f>
        <v>13D301Đ065</v>
      </c>
      <c r="C40" s="26" t="str">
        <f>IF(OR($C$6="",$I$6="",$L$6=""),"",IF(HKI!$C40="","",HKI!$C40))</f>
        <v>Đoàn Lê Xuân</v>
      </c>
      <c r="D40" s="152" t="str">
        <f>IF(OR($C$6="",$I$6="",$L$6=""),"",IF(HKI!$D40="","",HKI!$D40))</f>
        <v>Huy</v>
      </c>
      <c r="E40" s="461"/>
      <c r="F40" s="463">
        <v>5.5</v>
      </c>
      <c r="G40" s="462"/>
      <c r="H40" s="462"/>
      <c r="I40" s="462"/>
      <c r="J40" s="462"/>
      <c r="K40" s="462"/>
      <c r="L40" s="463">
        <v>7</v>
      </c>
      <c r="M40" s="464">
        <v>7.5</v>
      </c>
      <c r="N40" s="175">
        <f t="shared" si="1"/>
        <v>7</v>
      </c>
      <c r="O40" s="173" t="str">
        <f t="shared" si="0"/>
        <v>Khá</v>
      </c>
      <c r="P40" s="174" t="str">
        <f>IF(OR($B40="",$C$6&lt;&gt;HKI!$T$6,HKI!$V40=""),"",HKI!$V40)</f>
        <v/>
      </c>
      <c r="Q40" s="174" t="str">
        <f t="shared" si="2"/>
        <v/>
      </c>
    </row>
    <row r="41" spans="1:17" ht="18" customHeight="1">
      <c r="A41" s="123">
        <f>IF(OR($C$6="",$I$6="",$L$6=""),"",IF($B41="","",SUBTOTAL(3,$B$11:B41)))</f>
        <v>31</v>
      </c>
      <c r="B41" s="151" t="str">
        <f>IF(OR($C$6="",$I$6="",$L$6=""),"",IF(HKI!B41="","",HKI!B41))</f>
        <v>13D301Đ073</v>
      </c>
      <c r="C41" s="26" t="str">
        <f>IF(OR($C$6="",$I$6="",$L$6=""),"",IF(HKI!$C41="","",HKI!$C41))</f>
        <v>Trịnh Đại</v>
      </c>
      <c r="D41" s="152" t="str">
        <f>IF(OR($C$6="",$I$6="",$L$6=""),"",IF(HKI!$D41="","",HKI!$D41))</f>
        <v>Lăng</v>
      </c>
      <c r="E41" s="461"/>
      <c r="F41" s="463">
        <v>6.5</v>
      </c>
      <c r="G41" s="462"/>
      <c r="H41" s="462"/>
      <c r="I41" s="462"/>
      <c r="J41" s="462"/>
      <c r="K41" s="462"/>
      <c r="L41" s="463">
        <v>7</v>
      </c>
      <c r="M41" s="464">
        <v>8.5</v>
      </c>
      <c r="N41" s="175">
        <f t="shared" si="1"/>
        <v>7.7</v>
      </c>
      <c r="O41" s="173" t="str">
        <f t="shared" si="0"/>
        <v>Khá</v>
      </c>
      <c r="P41" s="174" t="str">
        <f>IF(OR($B41="",$C$6&lt;&gt;HKI!$T$6,HKI!$V41=""),"",HKI!$V41)</f>
        <v/>
      </c>
      <c r="Q41" s="174" t="str">
        <f t="shared" si="2"/>
        <v/>
      </c>
    </row>
    <row r="42" spans="1:17" ht="18" customHeight="1">
      <c r="A42" s="123">
        <f>IF(OR($C$6="",$I$6="",$L$6=""),"",IF($B42="","",SUBTOTAL(3,$B$11:B42)))</f>
        <v>32</v>
      </c>
      <c r="B42" s="151" t="str">
        <f>IF(OR($C$6="",$I$6="",$L$6=""),"",IF(HKI!B42="","",HKI!B42))</f>
        <v>13D301Đ204</v>
      </c>
      <c r="C42" s="26" t="str">
        <f>IF(OR($C$6="",$I$6="",$L$6=""),"",IF(HKI!$C42="","",HKI!$C42))</f>
        <v>Nguyễn Khánh</v>
      </c>
      <c r="D42" s="152" t="str">
        <f>IF(OR($C$6="",$I$6="",$L$6=""),"",IF(HKI!$D42="","",HKI!$D42))</f>
        <v>Linh</v>
      </c>
      <c r="E42" s="461"/>
      <c r="F42" s="463">
        <v>6.5</v>
      </c>
      <c r="G42" s="462"/>
      <c r="H42" s="462"/>
      <c r="I42" s="462"/>
      <c r="J42" s="462"/>
      <c r="K42" s="462"/>
      <c r="L42" s="463">
        <v>8</v>
      </c>
      <c r="M42" s="464">
        <v>8.5</v>
      </c>
      <c r="N42" s="175">
        <f t="shared" si="1"/>
        <v>8</v>
      </c>
      <c r="O42" s="173" t="str">
        <f t="shared" si="0"/>
        <v>Khá</v>
      </c>
      <c r="P42" s="174" t="str">
        <f>IF(OR($B42="",$C$6&lt;&gt;HKI!$T$6,HKI!$V42=""),"",HKI!$V42)</f>
        <v/>
      </c>
      <c r="Q42" s="174" t="str">
        <f t="shared" si="2"/>
        <v/>
      </c>
    </row>
    <row r="43" spans="1:17" ht="18" customHeight="1">
      <c r="A43" s="123">
        <f>IF(OR($C$6="",$I$6="",$L$6=""),"",IF($B43="","",SUBTOTAL(3,$B$11:B43)))</f>
        <v>33</v>
      </c>
      <c r="B43" s="151" t="str">
        <f>IF(OR($C$6="",$I$6="",$L$6=""),"",IF(HKI!B43="","",HKI!B43))</f>
        <v>13D301Đ162</v>
      </c>
      <c r="C43" s="26" t="str">
        <f>IF(OR($C$6="",$I$6="",$L$6=""),"",IF(HKI!$C43="","",HKI!$C43))</f>
        <v>Đỗ Văn</v>
      </c>
      <c r="D43" s="152" t="str">
        <f>IF(OR($C$6="",$I$6="",$L$6=""),"",IF(HKI!$D43="","",HKI!$D43))</f>
        <v>Lượng</v>
      </c>
      <c r="E43" s="461"/>
      <c r="F43" s="463">
        <v>6</v>
      </c>
      <c r="G43" s="462"/>
      <c r="H43" s="462"/>
      <c r="I43" s="462"/>
      <c r="J43" s="462"/>
      <c r="K43" s="462"/>
      <c r="L43" s="463">
        <v>8</v>
      </c>
      <c r="M43" s="464">
        <v>5.8</v>
      </c>
      <c r="N43" s="175">
        <f t="shared" si="1"/>
        <v>6.5</v>
      </c>
      <c r="O43" s="173" t="str">
        <f t="shared" si="0"/>
        <v>T.Bình</v>
      </c>
      <c r="P43" s="174" t="str">
        <f>IF(OR($B43="",$C$6&lt;&gt;HKI!$T$6,HKI!$V43=""),"",HKI!$V43)</f>
        <v/>
      </c>
      <c r="Q43" s="174" t="str">
        <f t="shared" si="2"/>
        <v/>
      </c>
    </row>
    <row r="44" spans="1:17" ht="18" customHeight="1">
      <c r="A44" s="123">
        <f>IF(OR($C$6="",$I$6="",$L$6=""),"",IF($B44="","",SUBTOTAL(3,$B$11:B44)))</f>
        <v>34</v>
      </c>
      <c r="B44" s="151" t="str">
        <f>IF(OR($C$6="",$I$6="",$L$6=""),"",IF(HKI!B44="","",HKI!B44))</f>
        <v>13D301Đ081</v>
      </c>
      <c r="C44" s="26" t="str">
        <f>IF(OR($C$6="",$I$6="",$L$6=""),"",IF(HKI!$C44="","",HKI!$C44))</f>
        <v>Mai Đình</v>
      </c>
      <c r="D44" s="152" t="str">
        <f>IF(OR($C$6="",$I$6="",$L$6=""),"",IF(HKI!$D44="","",HKI!$D44))</f>
        <v>Luyện</v>
      </c>
      <c r="E44" s="461"/>
      <c r="F44" s="463">
        <v>7</v>
      </c>
      <c r="G44" s="462"/>
      <c r="H44" s="462"/>
      <c r="I44" s="462"/>
      <c r="J44" s="462"/>
      <c r="K44" s="462"/>
      <c r="L44" s="463">
        <v>7</v>
      </c>
      <c r="M44" s="464">
        <v>5.8</v>
      </c>
      <c r="N44" s="175">
        <f t="shared" si="1"/>
        <v>6.4</v>
      </c>
      <c r="O44" s="173" t="str">
        <f t="shared" si="0"/>
        <v>T.Bình</v>
      </c>
      <c r="P44" s="174" t="str">
        <f>IF(OR($B44="",$C$6&lt;&gt;HKI!$T$6,HKI!$V44=""),"",HKI!$V44)</f>
        <v/>
      </c>
      <c r="Q44" s="174" t="str">
        <f t="shared" si="2"/>
        <v/>
      </c>
    </row>
    <row r="45" spans="1:17" ht="18" customHeight="1">
      <c r="A45" s="123">
        <f>IF(OR($C$6="",$I$6="",$L$6=""),"",IF($B45="","",SUBTOTAL(3,$B$11:B45)))</f>
        <v>35</v>
      </c>
      <c r="B45" s="151" t="str">
        <f>IF(OR($C$6="",$I$6="",$L$6=""),"",IF(HKI!B45="","",HKI!B45))</f>
        <v>13D301Đ085</v>
      </c>
      <c r="C45" s="26" t="str">
        <f>IF(OR($C$6="",$I$6="",$L$6=""),"",IF(HKI!$C45="","",HKI!$C45))</f>
        <v>Võ Hoài</v>
      </c>
      <c r="D45" s="152" t="str">
        <f>IF(OR($C$6="",$I$6="",$L$6=""),"",IF(HKI!$D45="","",HKI!$D45))</f>
        <v>Nam</v>
      </c>
      <c r="E45" s="461"/>
      <c r="F45" s="463">
        <v>6</v>
      </c>
      <c r="G45" s="462"/>
      <c r="H45" s="462"/>
      <c r="I45" s="462"/>
      <c r="J45" s="462"/>
      <c r="K45" s="462"/>
      <c r="L45" s="463">
        <v>7</v>
      </c>
      <c r="M45" s="464">
        <v>9</v>
      </c>
      <c r="N45" s="175">
        <f t="shared" si="1"/>
        <v>7.8</v>
      </c>
      <c r="O45" s="173" t="str">
        <f t="shared" si="0"/>
        <v>Khá</v>
      </c>
      <c r="P45" s="174" t="str">
        <f>IF(OR($B45="",$C$6&lt;&gt;HKI!$T$6,HKI!$V45=""),"",HKI!$V45)</f>
        <v/>
      </c>
      <c r="Q45" s="174" t="str">
        <f t="shared" si="2"/>
        <v/>
      </c>
    </row>
    <row r="46" spans="1:17" ht="18" customHeight="1">
      <c r="A46" s="123">
        <f>IF(OR($C$6="",$I$6="",$L$6=""),"",IF($B46="","",SUBTOTAL(3,$B$11:B46)))</f>
        <v>36</v>
      </c>
      <c r="B46" s="151" t="str">
        <f>IF(OR($C$6="",$I$6="",$L$6=""),"",IF(HKI!B46="","",HKI!B46))</f>
        <v>13D301Đ089</v>
      </c>
      <c r="C46" s="26" t="str">
        <f>IF(OR($C$6="",$I$6="",$L$6=""),"",IF(HKI!$C46="","",HKI!$C46))</f>
        <v>Nguyễn Hữu</v>
      </c>
      <c r="D46" s="152" t="str">
        <f>IF(OR($C$6="",$I$6="",$L$6=""),"",IF(HKI!$D46="","",HKI!$D46))</f>
        <v>Nghĩa</v>
      </c>
      <c r="E46" s="461"/>
      <c r="F46" s="463">
        <v>6</v>
      </c>
      <c r="G46" s="462"/>
      <c r="H46" s="462"/>
      <c r="I46" s="462"/>
      <c r="J46" s="462"/>
      <c r="K46" s="462"/>
      <c r="L46" s="463">
        <v>7</v>
      </c>
      <c r="M46" s="464">
        <v>7.5</v>
      </c>
      <c r="N46" s="175">
        <f t="shared" si="1"/>
        <v>7.1</v>
      </c>
      <c r="O46" s="173" t="str">
        <f t="shared" si="0"/>
        <v>Khá</v>
      </c>
      <c r="P46" s="174" t="str">
        <f>IF(OR($B46="",$C$6&lt;&gt;HKI!$T$6,HKI!$V46=""),"",HKI!$V46)</f>
        <v/>
      </c>
      <c r="Q46" s="174" t="str">
        <f t="shared" si="2"/>
        <v/>
      </c>
    </row>
    <row r="47" spans="1:17" ht="18" customHeight="1">
      <c r="A47" s="123">
        <f>IF(OR($C$6="",$I$6="",$L$6=""),"",IF($B47="","",SUBTOTAL(3,$B$11:B47)))</f>
        <v>37</v>
      </c>
      <c r="B47" s="151" t="str">
        <f>IF(OR($C$6="",$I$6="",$L$6=""),"",IF(HKI!B47="","",HKI!B47))</f>
        <v>13D301Đ097</v>
      </c>
      <c r="C47" s="26" t="str">
        <f>IF(OR($C$6="",$I$6="",$L$6=""),"",IF(HKI!$C47="","",HKI!$C47))</f>
        <v>Nguyễn Thành</v>
      </c>
      <c r="D47" s="152" t="str">
        <f>IF(OR($C$6="",$I$6="",$L$6=""),"",IF(HKI!$D47="","",HKI!$D47))</f>
        <v>Phát</v>
      </c>
      <c r="E47" s="461"/>
      <c r="F47" s="463">
        <v>7</v>
      </c>
      <c r="G47" s="462"/>
      <c r="H47" s="462"/>
      <c r="I47" s="462"/>
      <c r="J47" s="462"/>
      <c r="K47" s="462"/>
      <c r="L47" s="463">
        <v>8</v>
      </c>
      <c r="M47" s="464">
        <v>8</v>
      </c>
      <c r="N47" s="175">
        <f t="shared" si="1"/>
        <v>7.8</v>
      </c>
      <c r="O47" s="173" t="str">
        <f t="shared" si="0"/>
        <v>Khá</v>
      </c>
      <c r="P47" s="174" t="str">
        <f>IF(OR($B47="",$C$6&lt;&gt;HKI!$T$6,HKI!$V47=""),"",HKI!$V47)</f>
        <v/>
      </c>
      <c r="Q47" s="174" t="str">
        <f t="shared" si="2"/>
        <v/>
      </c>
    </row>
    <row r="48" spans="1:17" ht="18" customHeight="1">
      <c r="A48" s="123">
        <f>IF(OR($C$6="",$I$6="",$L$6=""),"",IF($B48="","",SUBTOTAL(3,$B$11:B48)))</f>
        <v>38</v>
      </c>
      <c r="B48" s="151" t="str">
        <f>IF(OR($C$6="",$I$6="",$L$6=""),"",IF(HKI!B48="","",HKI!B48))</f>
        <v>13D301Đ101</v>
      </c>
      <c r="C48" s="26" t="str">
        <f>IF(OR($C$6="",$I$6="",$L$6=""),"",IF(HKI!$C48="","",HKI!$C48))</f>
        <v>Huỳnh Thanh</v>
      </c>
      <c r="D48" s="152" t="str">
        <f>IF(OR($C$6="",$I$6="",$L$6=""),"",IF(HKI!$D48="","",HKI!$D48))</f>
        <v>Phú</v>
      </c>
      <c r="E48" s="461"/>
      <c r="F48" s="463">
        <v>0</v>
      </c>
      <c r="G48" s="462"/>
      <c r="H48" s="462"/>
      <c r="I48" s="462"/>
      <c r="J48" s="462"/>
      <c r="K48" s="462"/>
      <c r="L48" s="463">
        <v>0</v>
      </c>
      <c r="M48" s="465">
        <v>0</v>
      </c>
      <c r="N48" s="175">
        <f t="shared" si="1"/>
        <v>0</v>
      </c>
      <c r="O48" s="173" t="str">
        <f t="shared" si="0"/>
        <v>Kém</v>
      </c>
      <c r="P48" s="174" t="str">
        <f>IF(OR($B48="",$C$6&lt;&gt;HKI!$T$6,HKI!$V48=""),"",HKI!$V48)</f>
        <v/>
      </c>
      <c r="Q48" s="174" t="str">
        <f t="shared" si="2"/>
        <v/>
      </c>
    </row>
    <row r="49" spans="1:17" ht="18" customHeight="1">
      <c r="A49" s="123">
        <f>IF(OR($C$6="",$I$6="",$L$6=""),"",IF($B49="","",SUBTOTAL(3,$B$11:B49)))</f>
        <v>39</v>
      </c>
      <c r="B49" s="151" t="str">
        <f>IF(OR($C$6="",$I$6="",$L$6=""),"",IF(HKI!B49="","",HKI!B49))</f>
        <v>13D301Đ117</v>
      </c>
      <c r="C49" s="26" t="str">
        <f>IF(OR($C$6="",$I$6="",$L$6=""),"",IF(HKI!$C49="","",HKI!$C49))</f>
        <v>Trịnh Ngọc</v>
      </c>
      <c r="D49" s="152" t="str">
        <f>IF(OR($C$6="",$I$6="",$L$6=""),"",IF(HKI!$D49="","",HKI!$D49))</f>
        <v>Sơn</v>
      </c>
      <c r="E49" s="461"/>
      <c r="F49" s="463">
        <v>0</v>
      </c>
      <c r="G49" s="462"/>
      <c r="H49" s="462"/>
      <c r="I49" s="462"/>
      <c r="J49" s="462"/>
      <c r="K49" s="462"/>
      <c r="L49" s="463">
        <v>0</v>
      </c>
      <c r="M49" s="465">
        <v>0</v>
      </c>
      <c r="N49" s="175">
        <f t="shared" si="1"/>
        <v>0</v>
      </c>
      <c r="O49" s="173" t="str">
        <f t="shared" si="0"/>
        <v>Kém</v>
      </c>
      <c r="P49" s="174" t="str">
        <f>IF(OR($B49="",$C$6&lt;&gt;HKI!$T$6,HKI!$V49=""),"",HKI!$V49)</f>
        <v/>
      </c>
      <c r="Q49" s="174" t="str">
        <f t="shared" si="2"/>
        <v/>
      </c>
    </row>
    <row r="50" spans="1:17" ht="18" customHeight="1">
      <c r="A50" s="123">
        <f>IF(OR($C$6="",$I$6="",$L$6=""),"",IF($B50="","",SUBTOTAL(3,$B$11:B50)))</f>
        <v>40</v>
      </c>
      <c r="B50" s="151" t="str">
        <f>IF(OR($C$6="",$I$6="",$L$6=""),"",IF(HKI!B50="","",HKI!B50))</f>
        <v>13D301Đ121</v>
      </c>
      <c r="C50" s="26" t="str">
        <f>IF(OR($C$6="",$I$6="",$L$6=""),"",IF(HKI!$C50="","",HKI!$C50))</f>
        <v>Lê Minh</v>
      </c>
      <c r="D50" s="152" t="str">
        <f>IF(OR($C$6="",$I$6="",$L$6=""),"",IF(HKI!$D50="","",HKI!$D50))</f>
        <v>Tâm</v>
      </c>
      <c r="E50" s="461"/>
      <c r="F50" s="463">
        <v>7.5</v>
      </c>
      <c r="G50" s="462"/>
      <c r="H50" s="462"/>
      <c r="I50" s="462"/>
      <c r="J50" s="462"/>
      <c r="K50" s="462"/>
      <c r="L50" s="463">
        <v>8</v>
      </c>
      <c r="M50" s="464">
        <v>5.5</v>
      </c>
      <c r="N50" s="175">
        <f t="shared" si="1"/>
        <v>6.7</v>
      </c>
      <c r="O50" s="173" t="str">
        <f t="shared" si="0"/>
        <v>T.Bình</v>
      </c>
      <c r="P50" s="174" t="str">
        <f>IF(OR($B50="",$C$6&lt;&gt;HKI!$T$6,HKI!$V50=""),"",HKI!$V50)</f>
        <v/>
      </c>
      <c r="Q50" s="174" t="str">
        <f t="shared" si="2"/>
        <v/>
      </c>
    </row>
    <row r="51" spans="1:17" ht="18" customHeight="1">
      <c r="A51" s="123">
        <f>IF(OR($C$6="",$I$6="",$L$6=""),"",IF($B51="","",SUBTOTAL(3,$B$11:B51)))</f>
        <v>41</v>
      </c>
      <c r="B51" s="151" t="str">
        <f>IF(OR($C$6="",$I$6="",$L$6=""),"",IF(HKI!B51="","",HKI!B51))</f>
        <v>13D301Đ124</v>
      </c>
      <c r="C51" s="26" t="str">
        <f>IF(OR($C$6="",$I$6="",$L$6=""),"",IF(HKI!$C51="","",HKI!$C51))</f>
        <v>Cao Nguyễn Nhật</v>
      </c>
      <c r="D51" s="152" t="str">
        <f>IF(OR($C$6="",$I$6="",$L$6=""),"",IF(HKI!$D51="","",HKI!$D51))</f>
        <v>Tân</v>
      </c>
      <c r="E51" s="461"/>
      <c r="F51" s="463">
        <v>6.5</v>
      </c>
      <c r="G51" s="462"/>
      <c r="H51" s="462"/>
      <c r="I51" s="462"/>
      <c r="J51" s="462"/>
      <c r="K51" s="462"/>
      <c r="L51" s="463">
        <v>8</v>
      </c>
      <c r="M51" s="465">
        <v>8</v>
      </c>
      <c r="N51" s="175">
        <f t="shared" si="1"/>
        <v>7.7</v>
      </c>
      <c r="O51" s="173" t="str">
        <f t="shared" si="0"/>
        <v>Khá</v>
      </c>
      <c r="P51" s="174" t="str">
        <f>IF(OR($B51="",$C$6&lt;&gt;HKI!$T$6,HKI!$V51=""),"",HKI!$V51)</f>
        <v/>
      </c>
      <c r="Q51" s="174" t="str">
        <f t="shared" si="2"/>
        <v/>
      </c>
    </row>
    <row r="52" spans="1:17" ht="18" customHeight="1">
      <c r="A52" s="123">
        <f>IF(OR($C$6="",$I$6="",$L$6=""),"",IF($B52="","",SUBTOTAL(3,$B$11:B52)))</f>
        <v>42</v>
      </c>
      <c r="B52" s="151" t="str">
        <f>IF(OR($C$6="",$I$6="",$L$6=""),"",IF(HKI!B52="","",HKI!B52))</f>
        <v>13D301Đ130</v>
      </c>
      <c r="C52" s="26" t="str">
        <f>IF(OR($C$6="",$I$6="",$L$6=""),"",IF(HKI!$C52="","",HKI!$C52))</f>
        <v>Nguyễn Việt</v>
      </c>
      <c r="D52" s="152" t="str">
        <f>IF(OR($C$6="",$I$6="",$L$6=""),"",IF(HKI!$D52="","",HKI!$D52))</f>
        <v>Thắng</v>
      </c>
      <c r="E52" s="461"/>
      <c r="F52" s="463">
        <v>6</v>
      </c>
      <c r="G52" s="462"/>
      <c r="H52" s="462"/>
      <c r="I52" s="462"/>
      <c r="J52" s="462"/>
      <c r="K52" s="462"/>
      <c r="L52" s="463">
        <v>6</v>
      </c>
      <c r="M52" s="464">
        <v>6.3</v>
      </c>
      <c r="N52" s="175">
        <f t="shared" si="1"/>
        <v>6.2</v>
      </c>
      <c r="O52" s="173" t="str">
        <f t="shared" si="0"/>
        <v>T.Bình</v>
      </c>
      <c r="P52" s="174" t="str">
        <f>IF(OR($B52="",$C$6&lt;&gt;HKI!$T$6,HKI!$V52=""),"",HKI!$V52)</f>
        <v/>
      </c>
      <c r="Q52" s="174" t="str">
        <f t="shared" si="2"/>
        <v/>
      </c>
    </row>
    <row r="53" spans="1:17" ht="18" customHeight="1">
      <c r="A53" s="123">
        <f>IF(OR($C$6="",$I$6="",$L$6=""),"",IF($B53="","",SUBTOTAL(3,$B$11:B53)))</f>
        <v>43</v>
      </c>
      <c r="B53" s="151" t="str">
        <f>IF(OR($C$6="",$I$6="",$L$6=""),"",IF(HKI!B53="","",HKI!B53))</f>
        <v>13D301Đ136</v>
      </c>
      <c r="C53" s="26" t="str">
        <f>IF(OR($C$6="",$I$6="",$L$6=""),"",IF(HKI!$C53="","",HKI!$C53))</f>
        <v>Trần Minh</v>
      </c>
      <c r="D53" s="152" t="str">
        <f>IF(OR($C$6="",$I$6="",$L$6=""),"",IF(HKI!$D53="","",HKI!$D53))</f>
        <v>Thanh</v>
      </c>
      <c r="E53" s="461"/>
      <c r="F53" s="463">
        <v>8</v>
      </c>
      <c r="G53" s="462"/>
      <c r="H53" s="462"/>
      <c r="I53" s="462"/>
      <c r="J53" s="462"/>
      <c r="K53" s="462"/>
      <c r="L53" s="463">
        <v>8</v>
      </c>
      <c r="M53" s="464">
        <v>7.5</v>
      </c>
      <c r="N53" s="175">
        <f t="shared" si="1"/>
        <v>7.8</v>
      </c>
      <c r="O53" s="173" t="str">
        <f t="shared" si="0"/>
        <v>Khá</v>
      </c>
      <c r="P53" s="174" t="str">
        <f>IF(OR($B53="",$C$6&lt;&gt;HKI!$T$6,HKI!$V53=""),"",HKI!$V53)</f>
        <v/>
      </c>
      <c r="Q53" s="174" t="str">
        <f t="shared" si="2"/>
        <v/>
      </c>
    </row>
    <row r="54" spans="1:17" ht="18" customHeight="1">
      <c r="A54" s="123">
        <f>IF(OR($C$6="",$I$6="",$L$6=""),"",IF($B54="","",SUBTOTAL(3,$B$11:B54)))</f>
        <v>44</v>
      </c>
      <c r="B54" s="151" t="str">
        <f>IF(OR($C$6="",$I$6="",$L$6=""),"",IF(HKI!B54="","",HKI!B54))</f>
        <v>13D301Đ133</v>
      </c>
      <c r="C54" s="26" t="str">
        <f>IF(OR($C$6="",$I$6="",$L$6=""),"",IF(HKI!$C54="","",HKI!$C54))</f>
        <v>Nguyễn Khắc</v>
      </c>
      <c r="D54" s="152" t="str">
        <f>IF(OR($C$6="",$I$6="",$L$6=""),"",IF(HKI!$D54="","",HKI!$D54))</f>
        <v>Thành</v>
      </c>
      <c r="E54" s="461"/>
      <c r="F54" s="463">
        <v>7</v>
      </c>
      <c r="G54" s="462"/>
      <c r="H54" s="462"/>
      <c r="I54" s="462"/>
      <c r="J54" s="462"/>
      <c r="K54" s="462"/>
      <c r="L54" s="463">
        <v>7</v>
      </c>
      <c r="M54" s="464">
        <v>2.5</v>
      </c>
      <c r="N54" s="175">
        <f t="shared" si="1"/>
        <v>4.8</v>
      </c>
      <c r="O54" s="173" t="str">
        <f t="shared" si="0"/>
        <v>TB Yếu</v>
      </c>
      <c r="P54" s="174" t="str">
        <f>IF(OR($B54="",$C$6&lt;&gt;HKI!$T$6,HKI!$V54=""),"",HKI!$V54)</f>
        <v/>
      </c>
      <c r="Q54" s="174" t="str">
        <f t="shared" si="2"/>
        <v/>
      </c>
    </row>
    <row r="55" spans="1:17" ht="18" customHeight="1">
      <c r="A55" s="123">
        <f>IF(OR($C$6="",$I$6="",$L$6=""),"",IF($B55="","",SUBTOTAL(3,$B$11:B55)))</f>
        <v>45</v>
      </c>
      <c r="B55" s="151" t="str">
        <f>IF(OR($C$6="",$I$6="",$L$6=""),"",IF(HKI!B55="","",HKI!B55))</f>
        <v>13D301Đ169</v>
      </c>
      <c r="C55" s="26" t="str">
        <f>IF(OR($C$6="",$I$6="",$L$6=""),"",IF(HKI!$C55="","",HKI!$C55))</f>
        <v>Nguyễn Thanh</v>
      </c>
      <c r="D55" s="152" t="str">
        <f>IF(OR($C$6="",$I$6="",$L$6=""),"",IF(HKI!$D55="","",HKI!$D55))</f>
        <v>Thảo</v>
      </c>
      <c r="E55" s="461"/>
      <c r="F55" s="463">
        <v>5</v>
      </c>
      <c r="G55" s="462"/>
      <c r="H55" s="462"/>
      <c r="I55" s="462"/>
      <c r="J55" s="462"/>
      <c r="K55" s="462"/>
      <c r="L55" s="463">
        <v>6</v>
      </c>
      <c r="M55" s="464">
        <v>6</v>
      </c>
      <c r="N55" s="175">
        <f t="shared" si="1"/>
        <v>5.8</v>
      </c>
      <c r="O55" s="173" t="str">
        <f t="shared" si="0"/>
        <v>T.Bình</v>
      </c>
      <c r="P55" s="174" t="str">
        <f>IF(OR($B55="",$C$6&lt;&gt;HKI!$T$6,HKI!$V55=""),"",HKI!$V55)</f>
        <v/>
      </c>
      <c r="Q55" s="174" t="str">
        <f t="shared" si="2"/>
        <v/>
      </c>
    </row>
    <row r="56" spans="1:17" ht="18" customHeight="1">
      <c r="A56" s="123">
        <f>IF(OR($C$6="",$I$6="",$L$6=""),"",IF($B56="","",SUBTOTAL(3,$B$11:B56)))</f>
        <v>46</v>
      </c>
      <c r="B56" s="151" t="str">
        <f>IF(OR($C$6="",$I$6="",$L$6=""),"",IF(HKI!B56="","",HKI!B56))</f>
        <v>13D301Đ154</v>
      </c>
      <c r="C56" s="26" t="str">
        <f>IF(OR($C$6="",$I$6="",$L$6=""),"",IF(HKI!$C56="","",HKI!$C56))</f>
        <v>Võ Đức</v>
      </c>
      <c r="D56" s="152" t="str">
        <f>IF(OR($C$6="",$I$6="",$L$6=""),"",IF(HKI!$D56="","",HKI!$D56))</f>
        <v>Trí</v>
      </c>
      <c r="E56" s="461"/>
      <c r="F56" s="463">
        <v>5.5</v>
      </c>
      <c r="G56" s="462"/>
      <c r="H56" s="462"/>
      <c r="I56" s="462"/>
      <c r="J56" s="462"/>
      <c r="K56" s="462"/>
      <c r="L56" s="463">
        <v>7</v>
      </c>
      <c r="M56" s="464">
        <v>4.3</v>
      </c>
      <c r="N56" s="175">
        <f t="shared" si="1"/>
        <v>5.4</v>
      </c>
      <c r="O56" s="173" t="str">
        <f t="shared" si="0"/>
        <v>TB Yếu</v>
      </c>
      <c r="P56" s="174" t="str">
        <f>IF(OR($B56="",$C$6&lt;&gt;HKI!$T$6,HKI!$V56=""),"",HKI!$V56)</f>
        <v/>
      </c>
      <c r="Q56" s="174" t="str">
        <f t="shared" si="2"/>
        <v/>
      </c>
    </row>
    <row r="57" spans="1:17" s="148" customFormat="1" ht="18" customHeight="1">
      <c r="A57" s="123">
        <f>IF(OR($C$6="",$I$6="",$L$6=""),"",IF($B57="","",SUBTOTAL(3,$B$11:B57)))</f>
        <v>47</v>
      </c>
      <c r="B57" s="151" t="str">
        <f>IF(OR($C$6="",$I$6="",$L$6=""),"",IF(HKI!B57="","",HKI!B57))</f>
        <v>13D301Đ160</v>
      </c>
      <c r="C57" s="26" t="str">
        <f>IF(OR($C$6="",$I$6="",$L$6=""),"",IF(HKI!$C57="","",HKI!$C57))</f>
        <v>Nguyễn Bá</v>
      </c>
      <c r="D57" s="152" t="str">
        <f>IF(OR($C$6="",$I$6="",$L$6=""),"",IF(HKI!$D57="","",HKI!$D57))</f>
        <v>Trung</v>
      </c>
      <c r="E57" s="461"/>
      <c r="F57" s="463">
        <v>7</v>
      </c>
      <c r="G57" s="462"/>
      <c r="H57" s="462"/>
      <c r="I57" s="462"/>
      <c r="J57" s="462"/>
      <c r="K57" s="462"/>
      <c r="L57" s="463">
        <v>7</v>
      </c>
      <c r="M57" s="464">
        <v>6.8</v>
      </c>
      <c r="N57" s="175">
        <f t="shared" si="1"/>
        <v>6.9</v>
      </c>
      <c r="O57" s="173" t="str">
        <f t="shared" si="0"/>
        <v>T.Bình</v>
      </c>
      <c r="P57" s="174" t="str">
        <f>IF(OR($B57="",$C$6&lt;&gt;HKI!$T$6,HKI!$V57=""),"",HKI!$V57)</f>
        <v/>
      </c>
      <c r="Q57" s="174" t="str">
        <f t="shared" si="2"/>
        <v/>
      </c>
    </row>
    <row r="58" spans="1:17" s="148" customFormat="1" ht="18" customHeight="1">
      <c r="A58" s="123">
        <f>IF(OR($C$6="",$I$6="",$L$6=""),"",IF($B58="","",SUBTOTAL(3,$B$11:B58)))</f>
        <v>48</v>
      </c>
      <c r="B58" s="151" t="str">
        <f>IF(OR($C$6="",$I$6="",$L$6=""),"",IF(HKI!B58="","",HKI!B58))</f>
        <v>13D301Đ163</v>
      </c>
      <c r="C58" s="26" t="str">
        <f>IF(OR($C$6="",$I$6="",$L$6=""),"",IF(HKI!$C58="","",HKI!$C58))</f>
        <v>Mai Ngọc</v>
      </c>
      <c r="D58" s="152" t="str">
        <f>IF(OR($C$6="",$I$6="",$L$6=""),"",IF(HKI!$D58="","",HKI!$D58))</f>
        <v>Trước</v>
      </c>
      <c r="E58" s="461"/>
      <c r="F58" s="463">
        <v>7.5</v>
      </c>
      <c r="G58" s="462"/>
      <c r="H58" s="462"/>
      <c r="I58" s="462"/>
      <c r="J58" s="462"/>
      <c r="K58" s="462"/>
      <c r="L58" s="463">
        <v>7</v>
      </c>
      <c r="M58" s="464">
        <v>8.3000000000000007</v>
      </c>
      <c r="N58" s="175">
        <f t="shared" si="1"/>
        <v>7.8</v>
      </c>
      <c r="O58" s="173" t="str">
        <f t="shared" si="0"/>
        <v>Khá</v>
      </c>
      <c r="P58" s="174" t="str">
        <f>IF(OR($B58="",$C$6&lt;&gt;HKI!$T$6,HKI!$V58=""),"",HKI!$V58)</f>
        <v/>
      </c>
      <c r="Q58" s="174" t="str">
        <f t="shared" si="2"/>
        <v/>
      </c>
    </row>
    <row r="59" spans="1:17" ht="18" customHeight="1">
      <c r="A59" s="123">
        <f>IF(OR($C$6="",$I$6="",$L$6=""),"",IF($B59="","",SUBTOTAL(3,$B$11:B59)))</f>
        <v>49</v>
      </c>
      <c r="B59" s="151" t="str">
        <f>IF(OR($C$6="",$I$6="",$L$6=""),"",IF(HKI!B59="","",HKI!B59))</f>
        <v>13D301Đ166</v>
      </c>
      <c r="C59" s="26" t="str">
        <f>IF(OR($C$6="",$I$6="",$L$6=""),"",IF(HKI!$C59="","",HKI!$C59))</f>
        <v>Nguyễn Văn</v>
      </c>
      <c r="D59" s="152" t="str">
        <f>IF(OR($C$6="",$I$6="",$L$6=""),"",IF(HKI!$D59="","",HKI!$D59))</f>
        <v>Tư</v>
      </c>
      <c r="E59" s="461"/>
      <c r="F59" s="463">
        <v>0</v>
      </c>
      <c r="G59" s="462"/>
      <c r="H59" s="462"/>
      <c r="I59" s="462"/>
      <c r="J59" s="462"/>
      <c r="K59" s="462"/>
      <c r="L59" s="463">
        <v>0</v>
      </c>
      <c r="M59" s="465">
        <v>0</v>
      </c>
      <c r="N59" s="175">
        <f t="shared" si="1"/>
        <v>0</v>
      </c>
      <c r="O59" s="173" t="str">
        <f t="shared" si="0"/>
        <v>Kém</v>
      </c>
      <c r="P59" s="174" t="str">
        <f>IF(OR($B59="",$C$6&lt;&gt;HKI!$T$6,HKI!$V59=""),"",HKI!$V59)</f>
        <v/>
      </c>
      <c r="Q59" s="174" t="str">
        <f t="shared" si="2"/>
        <v/>
      </c>
    </row>
    <row r="60" spans="1:17" ht="18" customHeight="1">
      <c r="A60" s="123">
        <f>IF(OR($C$6="",$I$6="",$L$6=""),"",IF($B60="","",SUBTOTAL(3,$B$11:B60)))</f>
        <v>50</v>
      </c>
      <c r="B60" s="151" t="str">
        <f>IF(OR($C$6="",$I$6="",$L$6=""),"",IF(HKI!B60="","",HKI!B60))</f>
        <v>13D301Đ178</v>
      </c>
      <c r="C60" s="26" t="str">
        <f>IF(OR($C$6="",$I$6="",$L$6=""),"",IF(HKI!$C60="","",HKI!$C60))</f>
        <v>Lê Văn</v>
      </c>
      <c r="D60" s="152" t="str">
        <f>IF(OR($C$6="",$I$6="",$L$6=""),"",IF(HKI!$D60="","",HKI!$D60))</f>
        <v>Vũ</v>
      </c>
      <c r="E60" s="461"/>
      <c r="F60" s="463">
        <v>4</v>
      </c>
      <c r="G60" s="462"/>
      <c r="H60" s="462"/>
      <c r="I60" s="462"/>
      <c r="J60" s="462"/>
      <c r="K60" s="462"/>
      <c r="L60" s="463">
        <v>8</v>
      </c>
      <c r="M60" s="465">
        <v>0</v>
      </c>
      <c r="N60" s="175">
        <f t="shared" si="1"/>
        <v>3.2</v>
      </c>
      <c r="O60" s="173" t="str">
        <f t="shared" si="0"/>
        <v>Kém</v>
      </c>
      <c r="P60" s="174" t="str">
        <f>IF(OR($B60="",$C$6&lt;&gt;HKI!$T$6,HKI!$V60=""),"",HKI!$V60)</f>
        <v/>
      </c>
      <c r="Q60" s="174" t="str">
        <f t="shared" si="2"/>
        <v/>
      </c>
    </row>
    <row r="61" spans="1:17" ht="18" customHeight="1">
      <c r="A61" s="123" t="str">
        <f>IF(OR($C$6="",$I$6="",$L$6=""),"",IF($B61="","",SUBTOTAL(3,$B$11:B61)))</f>
        <v/>
      </c>
      <c r="B61" s="151" t="str">
        <f>IF(OR($C$6="",$I$6="",$L$6=""),"",IF(HKI!B61="","",HKI!B61))</f>
        <v/>
      </c>
      <c r="C61" s="26" t="str">
        <f>IF(OR($C$6="",$I$6="",$L$6=""),"",IF(HKI!$C61="","",HKI!$C61))</f>
        <v/>
      </c>
      <c r="D61" s="152" t="str">
        <f>IF(OR($C$6="",$I$6="",$L$6=""),"",IF(HKI!$D61="","",HKI!$D61))</f>
        <v/>
      </c>
      <c r="E61" s="143"/>
      <c r="F61" s="143"/>
      <c r="G61" s="143"/>
      <c r="H61" s="143"/>
      <c r="I61" s="143"/>
      <c r="J61" s="143"/>
      <c r="K61" s="143"/>
      <c r="L61" s="143"/>
      <c r="M61" s="143"/>
      <c r="N61" s="175" t="str">
        <f t="shared" si="1"/>
        <v/>
      </c>
      <c r="O61" s="173" t="str">
        <f t="shared" si="0"/>
        <v/>
      </c>
      <c r="P61" s="174" t="str">
        <f>IF(OR($B61="",$C$6&lt;&gt;HKI!$T$6,HKI!$V61=""),"",HKI!$V61)</f>
        <v/>
      </c>
      <c r="Q61" s="174" t="str">
        <f t="shared" si="2"/>
        <v/>
      </c>
    </row>
    <row r="62" spans="1:17" ht="18" customHeight="1">
      <c r="A62" s="123" t="str">
        <f>IF(OR($C$6="",$I$6="",$L$6=""),"",IF($B62="","",SUBTOTAL(3,$B$11:B62)))</f>
        <v/>
      </c>
      <c r="B62" s="151" t="str">
        <f>IF(OR($C$6="",$I$6="",$L$6=""),"",IF(HKI!B62="","",HKI!B62))</f>
        <v/>
      </c>
      <c r="C62" s="26" t="str">
        <f>IF(OR($C$6="",$I$6="",$L$6=""),"",IF(HKI!$C62="","",HKI!$C62))</f>
        <v/>
      </c>
      <c r="D62" s="152" t="str">
        <f>IF(OR($C$6="",$I$6="",$L$6=""),"",IF(HKI!$D62="","",HKI!$D62))</f>
        <v/>
      </c>
      <c r="E62" s="143"/>
      <c r="F62" s="143"/>
      <c r="G62" s="143"/>
      <c r="H62" s="143"/>
      <c r="I62" s="143"/>
      <c r="J62" s="143"/>
      <c r="K62" s="143"/>
      <c r="L62" s="143"/>
      <c r="M62" s="143"/>
      <c r="N62" s="175" t="str">
        <f t="shared" si="1"/>
        <v/>
      </c>
      <c r="O62" s="173" t="str">
        <f t="shared" si="0"/>
        <v/>
      </c>
      <c r="P62" s="174" t="str">
        <f>IF(OR($B62="",$C$6&lt;&gt;HKI!$T$6,HKI!$V62=""),"",HKI!$V62)</f>
        <v/>
      </c>
      <c r="Q62" s="174" t="str">
        <f t="shared" si="2"/>
        <v/>
      </c>
    </row>
    <row r="63" spans="1:17" ht="18" customHeight="1">
      <c r="A63" s="123" t="str">
        <f>IF(OR($C$6="",$I$6="",$L$6=""),"",IF($B63="","",SUBTOTAL(3,$B$11:B63)))</f>
        <v/>
      </c>
      <c r="B63" s="151" t="str">
        <f>IF(OR($C$6="",$I$6="",$L$6=""),"",IF(HKI!B63="","",HKI!B63))</f>
        <v/>
      </c>
      <c r="C63" s="26" t="str">
        <f>IF(OR($C$6="",$I$6="",$L$6=""),"",IF(HKI!$C63="","",HKI!$C63))</f>
        <v/>
      </c>
      <c r="D63" s="152" t="str">
        <f>IF(OR($C$6="",$I$6="",$L$6=""),"",IF(HKI!$D63="","",HKI!$D63))</f>
        <v/>
      </c>
      <c r="E63" s="143"/>
      <c r="F63" s="143"/>
      <c r="G63" s="143"/>
      <c r="H63" s="143"/>
      <c r="I63" s="143"/>
      <c r="J63" s="143"/>
      <c r="K63" s="143"/>
      <c r="L63" s="143"/>
      <c r="M63" s="143"/>
      <c r="N63" s="175" t="str">
        <f t="shared" si="1"/>
        <v/>
      </c>
      <c r="O63" s="173" t="str">
        <f t="shared" si="0"/>
        <v/>
      </c>
      <c r="P63" s="174" t="str">
        <f>IF(OR($B63="",$C$6&lt;&gt;HKI!$T$6,HKI!$V63=""),"",HKI!$V63)</f>
        <v/>
      </c>
      <c r="Q63" s="174" t="str">
        <f t="shared" si="2"/>
        <v/>
      </c>
    </row>
    <row r="64" spans="1:17" ht="18" customHeight="1">
      <c r="A64" s="123" t="str">
        <f>IF(OR($C$6="",$I$6="",$L$6=""),"",IF($B64="","",SUBTOTAL(3,$B$11:B64)))</f>
        <v/>
      </c>
      <c r="B64" s="151" t="str">
        <f>IF(OR($C$6="",$I$6="",$L$6=""),"",IF(HKI!B64="","",HKI!B64))</f>
        <v/>
      </c>
      <c r="C64" s="26" t="str">
        <f>IF(OR($C$6="",$I$6="",$L$6=""),"",IF(HKI!$C64="","",HKI!$C64))</f>
        <v/>
      </c>
      <c r="D64" s="152" t="str">
        <f>IF(OR($C$6="",$I$6="",$L$6=""),"",IF(HKI!$D64="","",HKI!$D64))</f>
        <v/>
      </c>
      <c r="E64" s="143"/>
      <c r="F64" s="143"/>
      <c r="G64" s="143"/>
      <c r="H64" s="143"/>
      <c r="I64" s="143"/>
      <c r="J64" s="143"/>
      <c r="K64" s="143"/>
      <c r="L64" s="143"/>
      <c r="M64" s="143"/>
      <c r="N64" s="175" t="str">
        <f t="shared" si="1"/>
        <v/>
      </c>
      <c r="O64" s="173" t="str">
        <f t="shared" si="0"/>
        <v/>
      </c>
      <c r="P64" s="174" t="str">
        <f>IF(OR($B64="",$C$6&lt;&gt;HKI!$T$6,HKI!$V64=""),"",HKI!$V64)</f>
        <v/>
      </c>
      <c r="Q64" s="174" t="str">
        <f t="shared" si="2"/>
        <v/>
      </c>
    </row>
    <row r="65" spans="1:17" ht="18" customHeight="1">
      <c r="A65" s="123" t="str">
        <f>IF(OR($C$6="",$I$6="",$L$6=""),"",IF($B65="","",SUBTOTAL(3,$B$11:B65)))</f>
        <v/>
      </c>
      <c r="B65" s="151" t="str">
        <f>IF(OR($C$6="",$I$6="",$L$6=""),"",IF(HKI!B65="","",HKI!B65))</f>
        <v/>
      </c>
      <c r="C65" s="26" t="str">
        <f>IF(OR($C$6="",$I$6="",$L$6=""),"",IF(HKI!$C65="","",HKI!$C65))</f>
        <v/>
      </c>
      <c r="D65" s="152" t="str">
        <f>IF(OR($C$6="",$I$6="",$L$6=""),"",IF(HKI!$D65="","",HKI!$D65))</f>
        <v/>
      </c>
      <c r="E65" s="143"/>
      <c r="F65" s="143"/>
      <c r="G65" s="143"/>
      <c r="H65" s="143"/>
      <c r="I65" s="143"/>
      <c r="J65" s="143"/>
      <c r="K65" s="143"/>
      <c r="L65" s="143"/>
      <c r="M65" s="143"/>
      <c r="N65" s="175" t="str">
        <f t="shared" si="1"/>
        <v/>
      </c>
      <c r="O65" s="173" t="str">
        <f t="shared" si="0"/>
        <v/>
      </c>
      <c r="P65" s="174" t="str">
        <f>IF(OR($B65="",$C$6&lt;&gt;HKI!$T$6,HKI!$V65=""),"",HKI!$V65)</f>
        <v/>
      </c>
      <c r="Q65" s="174" t="str">
        <f t="shared" si="2"/>
        <v/>
      </c>
    </row>
    <row r="66" spans="1:17" ht="18" customHeight="1">
      <c r="A66" s="123" t="str">
        <f>IF(OR($C$6="",$I$6="",$L$6=""),"",IF($B66="","",SUBTOTAL(3,$B$11:B66)))</f>
        <v/>
      </c>
      <c r="B66" s="151" t="str">
        <f>IF(OR($C$6="",$I$6="",$L$6=""),"",IF(HKI!B66="","",HKI!B66))</f>
        <v/>
      </c>
      <c r="C66" s="26" t="str">
        <f>IF(OR($C$6="",$I$6="",$L$6=""),"",IF(HKI!$C66="","",HKI!$C66))</f>
        <v/>
      </c>
      <c r="D66" s="152" t="str">
        <f>IF(OR($C$6="",$I$6="",$L$6=""),"",IF(HKI!$D66="","",HKI!$D66))</f>
        <v/>
      </c>
      <c r="E66" s="143"/>
      <c r="F66" s="143"/>
      <c r="G66" s="143"/>
      <c r="H66" s="143"/>
      <c r="I66" s="143"/>
      <c r="J66" s="143"/>
      <c r="K66" s="143"/>
      <c r="L66" s="143"/>
      <c r="M66" s="143"/>
      <c r="N66" s="175" t="str">
        <f t="shared" si="1"/>
        <v/>
      </c>
      <c r="O66" s="173" t="str">
        <f t="shared" si="0"/>
        <v/>
      </c>
      <c r="P66" s="174" t="str">
        <f>IF(OR($B66="",$C$6&lt;&gt;HKI!$T$6,HKI!$V66=""),"",HKI!$V66)</f>
        <v/>
      </c>
      <c r="Q66" s="174" t="str">
        <f t="shared" si="2"/>
        <v/>
      </c>
    </row>
    <row r="67" spans="1:17" ht="18" customHeight="1">
      <c r="A67" s="123" t="str">
        <f>IF(OR($C$6="",$I$6="",$L$6=""),"",IF($B67="","",SUBTOTAL(3,$B$11:B67)))</f>
        <v/>
      </c>
      <c r="B67" s="151" t="str">
        <f>IF(OR($C$6="",$I$6="",$L$6=""),"",IF(HKI!B67="","",HKI!B67))</f>
        <v/>
      </c>
      <c r="C67" s="26" t="str">
        <f>IF(OR($C$6="",$I$6="",$L$6=""),"",IF(HKI!$C67="","",HKI!$C67))</f>
        <v/>
      </c>
      <c r="D67" s="152" t="str">
        <f>IF(OR($C$6="",$I$6="",$L$6=""),"",IF(HKI!$D67="","",HKI!$D67))</f>
        <v/>
      </c>
      <c r="E67" s="143"/>
      <c r="F67" s="143"/>
      <c r="G67" s="143"/>
      <c r="H67" s="143"/>
      <c r="I67" s="143"/>
      <c r="J67" s="143"/>
      <c r="K67" s="143"/>
      <c r="L67" s="143"/>
      <c r="M67" s="143"/>
      <c r="N67" s="175" t="str">
        <f t="shared" si="1"/>
        <v/>
      </c>
      <c r="O67" s="173" t="str">
        <f t="shared" si="0"/>
        <v/>
      </c>
      <c r="P67" s="174" t="str">
        <f>IF(OR($B67="",$C$6&lt;&gt;HKI!$T$6,HKI!$V67=""),"",HKI!$V67)</f>
        <v/>
      </c>
      <c r="Q67" s="174" t="str">
        <f t="shared" si="2"/>
        <v/>
      </c>
    </row>
    <row r="68" spans="1:17" ht="18" customHeight="1">
      <c r="A68" s="123" t="str">
        <f>IF(OR($C$6="",$I$6="",$L$6=""),"",IF($B68="","",SUBTOTAL(3,$B$11:B68)))</f>
        <v/>
      </c>
      <c r="B68" s="151" t="str">
        <f>IF(OR($C$6="",$I$6="",$L$6=""),"",IF(HKI!B68="","",HKI!B68))</f>
        <v/>
      </c>
      <c r="C68" s="26" t="str">
        <f>IF(OR($C$6="",$I$6="",$L$6=""),"",IF(HKI!$C68="","",HKI!$C68))</f>
        <v/>
      </c>
      <c r="D68" s="152" t="str">
        <f>IF(OR($C$6="",$I$6="",$L$6=""),"",IF(HKI!$D68="","",HKI!$D68))</f>
        <v/>
      </c>
      <c r="E68" s="143"/>
      <c r="F68" s="143"/>
      <c r="G68" s="143"/>
      <c r="H68" s="143"/>
      <c r="I68" s="143"/>
      <c r="J68" s="143"/>
      <c r="K68" s="143"/>
      <c r="L68" s="143"/>
      <c r="M68" s="143"/>
      <c r="N68" s="175" t="str">
        <f t="shared" si="1"/>
        <v/>
      </c>
      <c r="O68" s="173" t="str">
        <f t="shared" si="0"/>
        <v/>
      </c>
      <c r="P68" s="174" t="str">
        <f>IF(OR($B68="",$C$6&lt;&gt;HKI!$T$6,HKI!$V68=""),"",HKI!$V68)</f>
        <v/>
      </c>
      <c r="Q68" s="174" t="str">
        <f t="shared" si="2"/>
        <v/>
      </c>
    </row>
    <row r="69" spans="1:17" ht="18" customHeight="1">
      <c r="A69" s="123" t="str">
        <f>IF(OR($C$6="",$I$6="",$L$6=""),"",IF($B69="","",SUBTOTAL(3,$B$11:B69)))</f>
        <v/>
      </c>
      <c r="B69" s="151" t="str">
        <f>IF(OR($C$6="",$I$6="",$L$6=""),"",IF(HKI!B69="","",HKI!B69))</f>
        <v/>
      </c>
      <c r="C69" s="26" t="str">
        <f>IF(OR($C$6="",$I$6="",$L$6=""),"",IF(HKI!$C69="","",HKI!$C69))</f>
        <v/>
      </c>
      <c r="D69" s="152" t="str">
        <f>IF(OR($C$6="",$I$6="",$L$6=""),"",IF(HKI!$D69="","",HKI!$D69))</f>
        <v/>
      </c>
      <c r="E69" s="143"/>
      <c r="F69" s="143"/>
      <c r="G69" s="143"/>
      <c r="H69" s="143"/>
      <c r="I69" s="143"/>
      <c r="J69" s="143"/>
      <c r="K69" s="143"/>
      <c r="L69" s="143"/>
      <c r="M69" s="143"/>
      <c r="N69" s="175" t="str">
        <f t="shared" si="1"/>
        <v/>
      </c>
      <c r="O69" s="173" t="str">
        <f t="shared" si="0"/>
        <v/>
      </c>
      <c r="P69" s="174" t="str">
        <f>IF(OR($B69="",$C$6&lt;&gt;HKI!$T$6,HKI!$V69=""),"",HKI!$V69)</f>
        <v/>
      </c>
      <c r="Q69" s="174" t="str">
        <f t="shared" si="2"/>
        <v/>
      </c>
    </row>
    <row r="70" spans="1:17" ht="18" customHeight="1">
      <c r="A70" s="123" t="str">
        <f>IF(OR($C$6="",$I$6="",$L$6=""),"",IF($B70="","",SUBTOTAL(3,$B$11:B70)))</f>
        <v/>
      </c>
      <c r="B70" s="151" t="str">
        <f>IF(OR($C$6="",$I$6="",$L$6=""),"",IF(HKI!B70="","",HKI!B70))</f>
        <v/>
      </c>
      <c r="C70" s="26" t="str">
        <f>IF(OR($C$6="",$I$6="",$L$6=""),"",IF(HKI!$C70="","",HKI!$C70))</f>
        <v/>
      </c>
      <c r="D70" s="152" t="str">
        <f>IF(OR($C$6="",$I$6="",$L$6=""),"",IF(HKI!$D70="","",HKI!$D70))</f>
        <v/>
      </c>
      <c r="E70" s="143"/>
      <c r="F70" s="143"/>
      <c r="G70" s="143"/>
      <c r="H70" s="143"/>
      <c r="I70" s="143"/>
      <c r="J70" s="143"/>
      <c r="K70" s="143"/>
      <c r="L70" s="143"/>
      <c r="M70" s="143"/>
      <c r="N70" s="175" t="str">
        <f t="shared" si="1"/>
        <v/>
      </c>
      <c r="O70" s="173" t="str">
        <f t="shared" si="0"/>
        <v/>
      </c>
      <c r="P70" s="174" t="str">
        <f>IF(OR($B70="",$C$6&lt;&gt;HKI!$T$6,HKI!$V70=""),"",HKI!$V70)</f>
        <v/>
      </c>
      <c r="Q70" s="174" t="str">
        <f t="shared" si="2"/>
        <v/>
      </c>
    </row>
    <row r="71" spans="1:17" ht="18" customHeight="1">
      <c r="A71" s="123" t="str">
        <f>IF(OR($C$6="",$I$6="",$L$6=""),"",IF($B71="","",SUBTOTAL(3,$B$11:B71)))</f>
        <v/>
      </c>
      <c r="B71" s="151" t="str">
        <f>IF(OR($C$6="",$I$6="",$L$6=""),"",IF(HKI!B71="","",HKI!B71))</f>
        <v/>
      </c>
      <c r="C71" s="26" t="str">
        <f>IF(OR($C$6="",$I$6="",$L$6=""),"",IF(HKI!$C71="","",HKI!$C71))</f>
        <v/>
      </c>
      <c r="D71" s="152" t="str">
        <f>IF(OR($C$6="",$I$6="",$L$6=""),"",IF(HKI!$D71="","",HKI!$D71))</f>
        <v/>
      </c>
      <c r="E71" s="143"/>
      <c r="F71" s="143"/>
      <c r="G71" s="143"/>
      <c r="H71" s="143"/>
      <c r="I71" s="143"/>
      <c r="J71" s="143"/>
      <c r="K71" s="143"/>
      <c r="L71" s="143"/>
      <c r="M71" s="143"/>
      <c r="N71" s="175" t="str">
        <f t="shared" si="1"/>
        <v/>
      </c>
      <c r="O71" s="173" t="str">
        <f t="shared" si="0"/>
        <v/>
      </c>
      <c r="P71" s="174" t="str">
        <f>IF(OR($B71="",$C$6&lt;&gt;HKI!$T$6,HKI!$V71=""),"",HKI!$V71)</f>
        <v/>
      </c>
      <c r="Q71" s="174" t="str">
        <f t="shared" si="2"/>
        <v/>
      </c>
    </row>
    <row r="72" spans="1:17" ht="18" customHeight="1">
      <c r="A72" s="123" t="str">
        <f>IF(OR($C$6="",$I$6="",$L$6=""),"",IF($B72="","",SUBTOTAL(3,$B$11:B72)))</f>
        <v/>
      </c>
      <c r="B72" s="151" t="str">
        <f>IF(OR($C$6="",$I$6="",$L$6=""),"",IF(HKI!B72="","",HKI!B72))</f>
        <v/>
      </c>
      <c r="C72" s="26" t="str">
        <f>IF(OR($C$6="",$I$6="",$L$6=""),"",IF(HKI!$C72="","",HKI!$C72))</f>
        <v/>
      </c>
      <c r="D72" s="152" t="str">
        <f>IF(OR($C$6="",$I$6="",$L$6=""),"",IF(HKI!$D72="","",HKI!$D72))</f>
        <v/>
      </c>
      <c r="E72" s="143"/>
      <c r="F72" s="143"/>
      <c r="G72" s="143"/>
      <c r="H72" s="143"/>
      <c r="I72" s="143"/>
      <c r="J72" s="143"/>
      <c r="K72" s="143"/>
      <c r="L72" s="143"/>
      <c r="M72" s="143"/>
      <c r="N72" s="175" t="str">
        <f t="shared" si="1"/>
        <v/>
      </c>
      <c r="O72" s="173" t="str">
        <f t="shared" si="0"/>
        <v/>
      </c>
      <c r="P72" s="174" t="str">
        <f>IF(OR($B72="",$C$6&lt;&gt;HKI!$T$6,HKI!$V72=""),"",HKI!$V72)</f>
        <v/>
      </c>
      <c r="Q72" s="174" t="str">
        <f t="shared" si="2"/>
        <v/>
      </c>
    </row>
    <row r="73" spans="1:17" ht="18" customHeight="1">
      <c r="A73" s="123" t="str">
        <f>IF(OR($C$6="",$I$6="",$L$6=""),"",IF($B73="","",SUBTOTAL(3,$B$11:B73)))</f>
        <v/>
      </c>
      <c r="B73" s="151" t="str">
        <f>IF(OR($C$6="",$I$6="",$L$6=""),"",IF(HKI!B73="","",HKI!B73))</f>
        <v/>
      </c>
      <c r="C73" s="26" t="str">
        <f>IF(OR($C$6="",$I$6="",$L$6=""),"",IF(HKI!$C73="","",HKI!$C73))</f>
        <v/>
      </c>
      <c r="D73" s="152" t="str">
        <f>IF(OR($C$6="",$I$6="",$L$6=""),"",IF(HKI!$D73="","",HKI!$D73))</f>
        <v/>
      </c>
      <c r="E73" s="143"/>
      <c r="F73" s="143"/>
      <c r="G73" s="143"/>
      <c r="H73" s="143"/>
      <c r="I73" s="143"/>
      <c r="J73" s="143"/>
      <c r="K73" s="143"/>
      <c r="L73" s="143"/>
      <c r="M73" s="143"/>
      <c r="N73" s="175" t="str">
        <f t="shared" si="1"/>
        <v/>
      </c>
      <c r="O73" s="173" t="str">
        <f t="shared" si="0"/>
        <v/>
      </c>
      <c r="P73" s="174" t="str">
        <f>IF(OR($B73="",$C$6&lt;&gt;HKI!$T$6,HKI!$V73=""),"",HKI!$V73)</f>
        <v/>
      </c>
      <c r="Q73" s="174" t="str">
        <f t="shared" si="2"/>
        <v/>
      </c>
    </row>
    <row r="74" spans="1:17" ht="18" customHeight="1">
      <c r="A74" s="123" t="str">
        <f>IF(OR($C$6="",$I$6="",$L$6=""),"",IF($B74="","",SUBTOTAL(3,$B$11:B74)))</f>
        <v/>
      </c>
      <c r="B74" s="151" t="str">
        <f>IF(OR($C$6="",$I$6="",$L$6=""),"",IF(HKI!B74="","",HKI!B74))</f>
        <v/>
      </c>
      <c r="C74" s="26" t="str">
        <f>IF(OR($C$6="",$I$6="",$L$6=""),"",IF(HKI!$C74="","",HKI!$C74))</f>
        <v/>
      </c>
      <c r="D74" s="152" t="str">
        <f>IF(OR($C$6="",$I$6="",$L$6=""),"",IF(HKI!$D74="","",HKI!$D74))</f>
        <v/>
      </c>
      <c r="E74" s="143"/>
      <c r="F74" s="143"/>
      <c r="G74" s="143"/>
      <c r="H74" s="143"/>
      <c r="I74" s="143"/>
      <c r="J74" s="143"/>
      <c r="K74" s="143"/>
      <c r="L74" s="143"/>
      <c r="M74" s="143"/>
      <c r="N74" s="175" t="str">
        <f t="shared" si="1"/>
        <v/>
      </c>
      <c r="O74" s="173" t="str">
        <f t="shared" si="0"/>
        <v/>
      </c>
      <c r="P74" s="174" t="str">
        <f>IF(OR($B74="",$C$6&lt;&gt;HKI!$T$6,HKI!$V74=""),"",HKI!$V74)</f>
        <v/>
      </c>
      <c r="Q74" s="174" t="str">
        <f t="shared" si="2"/>
        <v/>
      </c>
    </row>
    <row r="75" spans="1:17" ht="18" customHeight="1">
      <c r="A75" s="123" t="str">
        <f>IF(OR($C$6="",$I$6="",$L$6=""),"",IF($B75="","",SUBTOTAL(3,$B$11:B75)))</f>
        <v/>
      </c>
      <c r="B75" s="151" t="str">
        <f>IF(OR($C$6="",$I$6="",$L$6=""),"",IF(HKI!B75="","",HKI!B75))</f>
        <v/>
      </c>
      <c r="C75" s="26" t="str">
        <f>IF(OR($C$6="",$I$6="",$L$6=""),"",IF(HKI!$C75="","",HKI!$C75))</f>
        <v/>
      </c>
      <c r="D75" s="152" t="str">
        <f>IF(OR($C$6="",$I$6="",$L$6=""),"",IF(HKI!$D75="","",HKI!$D75))</f>
        <v/>
      </c>
      <c r="E75" s="143"/>
      <c r="F75" s="143"/>
      <c r="G75" s="143"/>
      <c r="H75" s="143"/>
      <c r="I75" s="143"/>
      <c r="J75" s="143"/>
      <c r="K75" s="143"/>
      <c r="L75" s="143"/>
      <c r="M75" s="143"/>
      <c r="N75" s="175" t="str">
        <f t="shared" si="1"/>
        <v/>
      </c>
      <c r="O75" s="173" t="str">
        <f t="shared" ref="O75:O80" si="3">IF($B75="","",IF($N75="","KXL",IF($N75&lt;4,"Kém",IF($N75&lt;5.5,"TB Yếu",IF($N75&lt;7,"T.Bình",IF($N75&lt;8.5,"Khá","Giỏi"))))))</f>
        <v/>
      </c>
      <c r="P75" s="174" t="str">
        <f>IF(OR($B75="",$C$6&lt;&gt;HKI!$T$6,HKI!$V75=""),"",HKI!$V75)</f>
        <v/>
      </c>
      <c r="Q75" s="174" t="str">
        <f t="shared" si="2"/>
        <v/>
      </c>
    </row>
    <row r="76" spans="1:17" ht="18" customHeight="1">
      <c r="A76" s="123" t="str">
        <f>IF(OR($C$6="",$I$6="",$L$6=""),"",IF($B76="","",SUBTOTAL(3,$B$11:B76)))</f>
        <v/>
      </c>
      <c r="B76" s="151" t="str">
        <f>IF(OR($C$6="",$I$6="",$L$6=""),"",IF(HKI!B76="","",HKI!B76))</f>
        <v/>
      </c>
      <c r="C76" s="26" t="str">
        <f>IF(OR($C$6="",$I$6="",$L$6=""),"",IF(HKI!$C76="","",HKI!$C76))</f>
        <v/>
      </c>
      <c r="D76" s="152" t="str">
        <f>IF(OR($C$6="",$I$6="",$L$6=""),"",IF(HKI!$D76="","",HKI!$D76))</f>
        <v/>
      </c>
      <c r="E76" s="143"/>
      <c r="F76" s="143"/>
      <c r="G76" s="143"/>
      <c r="H76" s="143"/>
      <c r="I76" s="143"/>
      <c r="J76" s="143"/>
      <c r="K76" s="143"/>
      <c r="L76" s="143"/>
      <c r="M76" s="143"/>
      <c r="N76" s="175" t="str">
        <f>IF(B76="","",IF(ISNUMBER(E76)=TRUE,E76,IF(COUNT(F76:M76)=0,"",IF(COUNT(F76:K76)=0,ROUND(0.3*L76+0.5*M76,1),ROUND(0.2*(SUM(F76:K76)/COUNT(F76:K76))+0.3*L76+0.5*M76,1)))))</f>
        <v/>
      </c>
      <c r="O76" s="173" t="str">
        <f t="shared" si="3"/>
        <v/>
      </c>
      <c r="P76" s="174" t="str">
        <f>IF(OR($B76="",$C$6&lt;&gt;HKI!$T$6,HKI!$V76=""),"",HKI!$V76)</f>
        <v/>
      </c>
      <c r="Q76" s="174" t="str">
        <f>IF(OR(ISNUMBER($E76)=TRUE,$B76="",$P76=""),"",IF(COUNT($F76:$M76)=0,"",IF($M76&gt;=$P76,$N76,IF(COUNT($F76:$K76)=0,ROUND(0.3*$L76+0.5*$P76,1),ROUND(0.2*(SUM($F76:$K76)/COUNT($F76:$K76))+0.3*$L76+0.5*$P76,1)))))</f>
        <v/>
      </c>
    </row>
    <row r="77" spans="1:17" ht="18" customHeight="1">
      <c r="A77" s="123" t="str">
        <f>IF(OR($C$6="",$I$6="",$L$6=""),"",IF($B77="","",SUBTOTAL(3,$B$11:B77)))</f>
        <v/>
      </c>
      <c r="B77" s="151" t="str">
        <f>IF(OR($C$6="",$I$6="",$L$6=""),"",IF(HKI!B77="","",HKI!B77))</f>
        <v/>
      </c>
      <c r="C77" s="26" t="str">
        <f>IF(OR($C$6="",$I$6="",$L$6=""),"",IF(HKI!$C77="","",HKI!$C77))</f>
        <v/>
      </c>
      <c r="D77" s="152" t="str">
        <f>IF(OR($C$6="",$I$6="",$L$6=""),"",IF(HKI!$D77="","",HKI!$D77))</f>
        <v/>
      </c>
      <c r="E77" s="143"/>
      <c r="F77" s="143"/>
      <c r="G77" s="143"/>
      <c r="H77" s="143"/>
      <c r="I77" s="143"/>
      <c r="J77" s="143"/>
      <c r="K77" s="143"/>
      <c r="L77" s="143"/>
      <c r="M77" s="143"/>
      <c r="N77" s="175" t="str">
        <f>IF(B77="","",IF(ISNUMBER(E77)=TRUE,E77,IF(COUNT(F77:M77)=0,"",IF(COUNT(F77:K77)=0,ROUND(0.3*L77+0.5*M77,1),ROUND(0.2*(SUM(F77:K77)/COUNT(F77:K77))+0.3*L77+0.5*M77,1)))))</f>
        <v/>
      </c>
      <c r="O77" s="173" t="str">
        <f t="shared" si="3"/>
        <v/>
      </c>
      <c r="P77" s="174" t="str">
        <f>IF(OR($B77="",$C$6&lt;&gt;HKI!$T$6,HKI!$V77=""),"",HKI!$V77)</f>
        <v/>
      </c>
      <c r="Q77" s="174" t="str">
        <f>IF(OR(ISNUMBER($E77)=TRUE,$B77="",$P77=""),"",IF(COUNT($F77:$M77)=0,"",IF($M77&gt;=$P77,$N77,IF(COUNT($F77:$K77)=0,ROUND(0.3*$L77+0.5*$P77,1),ROUND(0.2*(SUM($F77:$K77)/COUNT($F77:$K77))+0.3*$L77+0.5*$P77,1)))))</f>
        <v/>
      </c>
    </row>
    <row r="78" spans="1:17" ht="18" customHeight="1">
      <c r="A78" s="123" t="str">
        <f>IF(OR($C$6="",$I$6="",$L$6=""),"",IF($B78="","",SUBTOTAL(3,$B$11:B78)))</f>
        <v/>
      </c>
      <c r="B78" s="151" t="str">
        <f>IF(OR($C$6="",$I$6="",$L$6=""),"",IF(HKI!B78="","",HKI!B78))</f>
        <v/>
      </c>
      <c r="C78" s="26" t="str">
        <f>IF(OR($C$6="",$I$6="",$L$6=""),"",IF(HKI!$C78="","",HKI!$C78))</f>
        <v/>
      </c>
      <c r="D78" s="152" t="str">
        <f>IF(OR($C$6="",$I$6="",$L$6=""),"",IF(HKI!$D78="","",HKI!$D78))</f>
        <v/>
      </c>
      <c r="E78" s="143"/>
      <c r="F78" s="143"/>
      <c r="G78" s="143"/>
      <c r="H78" s="143"/>
      <c r="I78" s="143"/>
      <c r="J78" s="143"/>
      <c r="K78" s="143"/>
      <c r="L78" s="143"/>
      <c r="M78" s="143"/>
      <c r="N78" s="175" t="str">
        <f>IF(B78="","",IF(ISNUMBER(E78)=TRUE,E78,IF(COUNT(F78:M78)=0,"",IF(COUNT(F78:K78)=0,ROUND(0.3*L78+0.5*M78,1),ROUND(0.2*(SUM(F78:K78)/COUNT(F78:K78))+0.3*L78+0.5*M78,1)))))</f>
        <v/>
      </c>
      <c r="O78" s="173" t="str">
        <f t="shared" si="3"/>
        <v/>
      </c>
      <c r="P78" s="174" t="str">
        <f>IF(OR($B78="",$C$6&lt;&gt;HKI!$T$6,HKI!$V78=""),"",HKI!$V78)</f>
        <v/>
      </c>
      <c r="Q78" s="174" t="str">
        <f>IF(OR(ISNUMBER($E78)=TRUE,$B78="",$P78=""),"",IF(COUNT($F78:$M78)=0,"",IF($M78&gt;=$P78,$N78,IF(COUNT($F78:$K78)=0,ROUND(0.3*$L78+0.5*$P78,1),ROUND(0.2*(SUM($F78:$K78)/COUNT($F78:$K78))+0.3*$L78+0.5*$P78,1)))))</f>
        <v/>
      </c>
    </row>
    <row r="79" spans="1:17" ht="18" customHeight="1">
      <c r="A79" s="123" t="str">
        <f>IF(OR($C$6="",$I$6="",$L$6=""),"",IF($B79="","",SUBTOTAL(3,$B$11:B79)))</f>
        <v/>
      </c>
      <c r="B79" s="151" t="str">
        <f>IF(OR($C$6="",$I$6="",$L$6=""),"",IF(HKI!B79="","",HKI!B79))</f>
        <v/>
      </c>
      <c r="C79" s="26" t="str">
        <f>IF(OR($C$6="",$I$6="",$L$6=""),"",IF(HKI!$C79="","",HKI!$C79))</f>
        <v/>
      </c>
      <c r="D79" s="152" t="str">
        <f>IF(OR($C$6="",$I$6="",$L$6=""),"",IF(HKI!$D79="","",HKI!$D79))</f>
        <v/>
      </c>
      <c r="E79" s="143"/>
      <c r="F79" s="143"/>
      <c r="G79" s="143"/>
      <c r="H79" s="143"/>
      <c r="I79" s="143"/>
      <c r="J79" s="143"/>
      <c r="K79" s="143"/>
      <c r="L79" s="143"/>
      <c r="M79" s="143"/>
      <c r="N79" s="175" t="str">
        <f>IF(B79="","",IF(ISNUMBER(E79)=TRUE,E79,IF(COUNT(F79:M79)=0,"",IF(COUNT(F79:K79)=0,ROUND(0.3*L79+0.5*M79,1),ROUND(0.2*(SUM(F79:K79)/COUNT(F79:K79))+0.3*L79+0.5*M79,1)))))</f>
        <v/>
      </c>
      <c r="O79" s="173" t="str">
        <f t="shared" si="3"/>
        <v/>
      </c>
      <c r="P79" s="174" t="str">
        <f>IF(OR($B79="",$C$6&lt;&gt;HKI!$T$6,HKI!$V79=""),"",HKI!$V79)</f>
        <v/>
      </c>
      <c r="Q79" s="174" t="str">
        <f>IF(OR(ISNUMBER($E79)=TRUE,$B79="",$P79=""),"",IF(COUNT($F79:$M79)=0,"",IF($M79&gt;=$P79,$N79,IF(COUNT($F79:$K79)=0,ROUND(0.3*$L79+0.5*$P79,1),ROUND(0.2*(SUM($F79:$K79)/COUNT($F79:$K79))+0.3*$L79+0.5*$P79,1)))))</f>
        <v/>
      </c>
    </row>
    <row r="80" spans="1:17" ht="18" customHeight="1">
      <c r="A80" s="123" t="str">
        <f>IF(OR($C$6="",$I$6="",$L$6=""),"",IF($B80="","",SUBTOTAL(3,$B$11:B80)))</f>
        <v/>
      </c>
      <c r="B80" s="151" t="str">
        <f>IF(OR($C$6="",$I$6="",$L$6=""),"",IF(HKI!B80="","",HKI!B80))</f>
        <v/>
      </c>
      <c r="C80" s="26" t="str">
        <f>IF(OR($C$6="",$I$6="",$L$6=""),"",IF(HKI!$C80="","",HKI!$C80))</f>
        <v/>
      </c>
      <c r="D80" s="152" t="str">
        <f>IF(OR($C$6="",$I$6="",$L$6=""),"",IF(HKI!$D80="","",HKI!$D80))</f>
        <v/>
      </c>
      <c r="E80" s="143"/>
      <c r="F80" s="143"/>
      <c r="G80" s="143"/>
      <c r="H80" s="143"/>
      <c r="I80" s="143"/>
      <c r="J80" s="143"/>
      <c r="K80" s="143"/>
      <c r="L80" s="143"/>
      <c r="M80" s="143"/>
      <c r="N80" s="175" t="str">
        <f>IF(B80="","",IF(ISNUMBER(E80)=TRUE,E80,IF(COUNT(F80:M80)=0,"",IF(COUNT(F80:K80)=0,ROUND(0.3*L80+0.5*M80,1),ROUND(0.2*(SUM(F80:K80)/COUNT(F80:K80))+0.3*L80+0.5*M80,1)))))</f>
        <v/>
      </c>
      <c r="O80" s="173" t="str">
        <f t="shared" si="3"/>
        <v/>
      </c>
      <c r="P80" s="174" t="str">
        <f>IF(OR($B80="",$C$6&lt;&gt;HKI!$T$6,HKI!$V80=""),"",HKI!$V80)</f>
        <v/>
      </c>
      <c r="Q80" s="174" t="str">
        <f>IF(OR(ISNUMBER($E80)=TRUE,$B80="",$P80=""),"",IF(COUNT($F80:$M80)=0,"",IF($M80&gt;=$P80,$N80,IF(COUNT($F80:$K80)=0,ROUND(0.3*$L80+0.5*$P80,1),ROUND(0.2*(SUM($F80:$K80)/COUNT($F80:$K80))+0.3*$L80+0.5*$P80,1)))))</f>
        <v/>
      </c>
    </row>
    <row r="81" spans="1:17" s="146" customFormat="1" ht="16.5" customHeight="1">
      <c r="A81" s="653" t="s">
        <v>1459</v>
      </c>
      <c r="B81" s="653"/>
      <c r="C81" s="653"/>
      <c r="D81" s="653"/>
      <c r="E81" s="653"/>
      <c r="F81" s="653"/>
      <c r="G81" s="653"/>
      <c r="H81" s="653"/>
      <c r="I81" s="653"/>
      <c r="J81" s="653"/>
      <c r="K81" s="653"/>
      <c r="L81" s="653"/>
      <c r="M81" s="653"/>
      <c r="N81" s="163"/>
      <c r="O81" s="56"/>
      <c r="P81" s="56"/>
    </row>
    <row r="82" spans="1:17" s="146" customFormat="1">
      <c r="A82" s="136"/>
      <c r="B82" s="651" t="str">
        <f>"Tổng danh sách có"</f>
        <v>Tổng danh sách có</v>
      </c>
      <c r="C82" s="651"/>
      <c r="D82" s="651"/>
      <c r="E82" s="651"/>
      <c r="F82" s="176" t="str">
        <f>": "&amp;MAX($A$11:$A$80)&amp;" SV"</f>
        <v>: 50 SV</v>
      </c>
      <c r="K82" s="147"/>
      <c r="L82" s="147"/>
      <c r="M82" s="147"/>
      <c r="N82" s="147"/>
      <c r="O82" s="147"/>
      <c r="P82" s="56"/>
      <c r="Q82" s="56"/>
    </row>
    <row r="83" spans="1:17" s="146" customFormat="1">
      <c r="A83" s="148"/>
      <c r="B83" s="643" t="str">
        <f>"Tổng số SV có điểm Giỏi từ 8,5 đ đến 10 đ"</f>
        <v>Tổng số SV có điểm Giỏi từ 8,5 đ đến 10 đ</v>
      </c>
      <c r="C83" s="643"/>
      <c r="D83" s="643"/>
      <c r="E83" s="643"/>
      <c r="F83" s="153" t="str">
        <f>": "&amp;COUNTIF($O$11:$O$80,"Giỏi")&amp;" SV"</f>
        <v>: 2 SV</v>
      </c>
      <c r="H83" s="153" t="str">
        <f>IF(B21="","","("&amp;ROUND(COUNTIF($O$11:$O$80,"Giỏi")*100/MAX($A$11:$A$78),2)&amp;"%" &amp;")")</f>
        <v>(4%)</v>
      </c>
      <c r="I83" s="153"/>
      <c r="J83" s="153"/>
      <c r="K83" s="645" t="str">
        <f>IF(B11="","","Tổng số SV có điểm &gt;= 4 đ : "&amp;COUNTIF(N11:N80,"&gt;=4")&amp;" SV"&amp;" ("&amp;ROUND(COUNTIF(N11:N80,"&gt;=4")*100/MAX($A$11:$A$80),2)&amp;"%" &amp;")")</f>
        <v>Tổng số SV có điểm &gt;= 4 đ : 45 SV (90%)</v>
      </c>
      <c r="L83" s="645"/>
      <c r="M83" s="645"/>
      <c r="N83" s="645"/>
      <c r="O83" s="127"/>
      <c r="P83" s="56"/>
      <c r="Q83" s="56"/>
    </row>
    <row r="84" spans="1:17" s="146" customFormat="1">
      <c r="A84" s="148"/>
      <c r="B84" s="643" t="str">
        <f>"Tổng số SV có điểm Khá từ 7 đ đến &lt;8,5 đ"</f>
        <v>Tổng số SV có điểm Khá từ 7 đ đến &lt;8,5 đ</v>
      </c>
      <c r="C84" s="643"/>
      <c r="D84" s="643"/>
      <c r="E84" s="643"/>
      <c r="F84" s="153" t="str">
        <f>": "&amp;COUNTIF($O$11:$O$80,"Khá")&amp;" SV"</f>
        <v>: 26 SV</v>
      </c>
      <c r="H84" s="153" t="str">
        <f>IF(B21="","","("&amp;ROUND(COUNTIF($O$11:$O$80,"Khá")*100/MAX($A$11:$A$78),2)&amp;"%" &amp;")")</f>
        <v>(52%)</v>
      </c>
      <c r="I84" s="153"/>
      <c r="J84" s="153"/>
      <c r="K84" s="645"/>
      <c r="L84" s="645"/>
      <c r="M84" s="645"/>
      <c r="N84" s="645"/>
      <c r="O84" s="127"/>
      <c r="P84" s="56"/>
      <c r="Q84" s="56"/>
    </row>
    <row r="85" spans="1:17" s="146" customFormat="1">
      <c r="A85" s="148"/>
      <c r="B85" s="643" t="str">
        <f>"Tổng số SV có điểm Trung bình từ 5,5 đ đến &lt;7 đ"</f>
        <v>Tổng số SV có điểm Trung bình từ 5,5 đ đến &lt;7 đ</v>
      </c>
      <c r="C85" s="643"/>
      <c r="D85" s="643"/>
      <c r="E85" s="643"/>
      <c r="F85" s="153" t="str">
        <f>": "&amp;COUNTIF($O$11:$O$80,"T.Bình")&amp;" SV"</f>
        <v>: 15 SV</v>
      </c>
      <c r="H85" s="153" t="str">
        <f>IF(B21="","","("&amp;ROUND(COUNTIF($O$11:$O$80,"TB")*100/MAX($A$11:$A$78),2)&amp;"%" &amp;")")</f>
        <v>(0%)</v>
      </c>
      <c r="I85" s="153"/>
      <c r="J85" s="153"/>
      <c r="K85" s="645"/>
      <c r="L85" s="645"/>
      <c r="M85" s="645"/>
      <c r="N85" s="645"/>
      <c r="O85" s="127"/>
      <c r="P85" s="56"/>
      <c r="Q85" s="56"/>
    </row>
    <row r="86" spans="1:17" s="146" customFormat="1" ht="12.75" customHeight="1">
      <c r="A86" s="148"/>
      <c r="B86" s="643" t="str">
        <f>"Tổng số SV có điểm Trung bình yếu từ 4 đ đến &lt;5,5 đ"</f>
        <v>Tổng số SV có điểm Trung bình yếu từ 4 đ đến &lt;5,5 đ</v>
      </c>
      <c r="C86" s="643"/>
      <c r="D86" s="643"/>
      <c r="E86" s="643"/>
      <c r="F86" s="153" t="str">
        <f>": "&amp;COUNTIF($O$11:$O$80,"TB Yếu")&amp;" SV"</f>
        <v>: 2 SV</v>
      </c>
      <c r="H86" s="153" t="str">
        <f>IF(B21="","","("&amp;ROUND(COUNTIF($O$11:$O$80,"TBY")*100/MAX($A$11:$A$78),2)&amp;"%" &amp;")")</f>
        <v>(0%)</v>
      </c>
      <c r="I86" s="153"/>
      <c r="J86" s="153"/>
      <c r="K86" s="644" t="str">
        <f>IF(B11="","","Tổng số SV có điểm &lt; 4 đ : "&amp;COUNTIF(N11:N80,"&lt;4")&amp;" SV"&amp;" ("&amp;ROUND(COUNTIF(N11:N80,"&lt;4")*100/MAX($A$11:$A$80),2)&amp;"%" &amp;")")</f>
        <v>Tổng số SV có điểm &lt; 4 đ : 5 SV (10%)</v>
      </c>
      <c r="L86" s="644"/>
      <c r="M86" s="644"/>
      <c r="N86" s="644"/>
      <c r="O86" s="161"/>
      <c r="P86" s="56"/>
      <c r="Q86" s="56"/>
    </row>
    <row r="87" spans="1:17" s="146" customFormat="1">
      <c r="A87" s="148"/>
      <c r="B87" s="643" t="str">
        <f>"Tổng số SV có điểm kém &lt;4 đ"</f>
        <v>Tổng số SV có điểm kém &lt;4 đ</v>
      </c>
      <c r="C87" s="643"/>
      <c r="D87" s="643"/>
      <c r="E87" s="643"/>
      <c r="F87" s="153" t="str">
        <f>": "&amp;COUNTIF($O$11:$O$80,"Kém")&amp;" SV"</f>
        <v>: 5 SV</v>
      </c>
      <c r="H87" s="153" t="str">
        <f>IF(B21="","","("&amp;ROUND(COUNTIF($O$11:$O$80,"Kém")*100/MAX($A$11:$A$78),2)&amp;"%"&amp;")")</f>
        <v>(10%)</v>
      </c>
      <c r="I87" s="153"/>
      <c r="J87" s="153"/>
      <c r="K87" s="644"/>
      <c r="L87" s="644"/>
      <c r="M87" s="644"/>
      <c r="N87" s="644"/>
      <c r="O87" s="161"/>
      <c r="P87" s="56"/>
      <c r="Q87" s="56"/>
    </row>
    <row r="88" spans="1:17" s="146" customFormat="1" ht="12.75" customHeight="1">
      <c r="A88" s="148"/>
      <c r="B88" s="643" t="str">
        <f>"Tổng số SV không xếp loại vì chưa đủ điều kiện"</f>
        <v>Tổng số SV không xếp loại vì chưa đủ điều kiện</v>
      </c>
      <c r="C88" s="643"/>
      <c r="D88" s="643"/>
      <c r="E88" s="643"/>
      <c r="F88" s="153" t="str">
        <f>": "&amp;COUNTIF($O$11:$O$80,"KXL")&amp;" SV"</f>
        <v>: 0 SV</v>
      </c>
      <c r="H88" s="153" t="str">
        <f>IF(B21="","","("&amp;ROUND(COUNTIF($O$11:$O$80,"KXL")*100/MAX($A$11:$A$78),2)&amp;"%"&amp;")")</f>
        <v>(0%)</v>
      </c>
      <c r="I88" s="153"/>
      <c r="J88" s="153"/>
      <c r="K88" s="644"/>
      <c r="L88" s="644"/>
      <c r="M88" s="644"/>
      <c r="N88" s="644"/>
      <c r="O88" s="161"/>
      <c r="P88" s="56"/>
      <c r="Q88" s="56"/>
    </row>
    <row r="89" spans="1:17" ht="15.75">
      <c r="B89" s="149"/>
      <c r="C89" s="149"/>
      <c r="D89" s="149"/>
      <c r="E89" s="149"/>
      <c r="F89" s="149"/>
      <c r="G89" s="149"/>
      <c r="H89" s="149"/>
      <c r="I89" s="149"/>
      <c r="J89" s="149"/>
      <c r="K89" s="149"/>
      <c r="L89" s="149"/>
      <c r="M89" s="149"/>
      <c r="N89" s="149"/>
    </row>
    <row r="90" spans="1:17" ht="15.75" customHeight="1">
      <c r="A90" s="636" t="s">
        <v>190</v>
      </c>
      <c r="B90" s="636"/>
      <c r="C90" s="636"/>
      <c r="D90" s="636" t="s">
        <v>256</v>
      </c>
      <c r="E90" s="636"/>
      <c r="F90" s="636"/>
      <c r="G90" s="636"/>
      <c r="H90" s="138"/>
      <c r="I90" s="138"/>
      <c r="J90" s="636" t="s">
        <v>257</v>
      </c>
      <c r="K90" s="636"/>
      <c r="L90" s="636"/>
      <c r="M90" s="636"/>
      <c r="N90" s="636"/>
      <c r="O90" s="636"/>
    </row>
  </sheetData>
  <sheetProtection sheet="1" formatCells="0" formatColumns="0" formatRows="0" autoFilter="0"/>
  <dataConsolidate/>
  <mergeCells count="44">
    <mergeCell ref="A5:L5"/>
    <mergeCell ref="J7:L7"/>
    <mergeCell ref="Q8:Q10"/>
    <mergeCell ref="O8:O10"/>
    <mergeCell ref="P8:P9"/>
    <mergeCell ref="H8:H9"/>
    <mergeCell ref="J8:J9"/>
    <mergeCell ref="M8:M9"/>
    <mergeCell ref="E8:E10"/>
    <mergeCell ref="F8:F9"/>
    <mergeCell ref="K8:K9"/>
    <mergeCell ref="G8:G9"/>
    <mergeCell ref="H1:N1"/>
    <mergeCell ref="A2:F2"/>
    <mergeCell ref="H2:N2"/>
    <mergeCell ref="B82:E82"/>
    <mergeCell ref="N8:N10"/>
    <mergeCell ref="L8:L9"/>
    <mergeCell ref="F10:K10"/>
    <mergeCell ref="C6:F6"/>
    <mergeCell ref="L6:M6"/>
    <mergeCell ref="H7:I7"/>
    <mergeCell ref="D7:E7"/>
    <mergeCell ref="G6:H6"/>
    <mergeCell ref="A3:F3"/>
    <mergeCell ref="A4:N4"/>
    <mergeCell ref="A1:F1"/>
    <mergeCell ref="A6:B6"/>
    <mergeCell ref="B83:E83"/>
    <mergeCell ref="I8:I9"/>
    <mergeCell ref="J90:O90"/>
    <mergeCell ref="A90:C90"/>
    <mergeCell ref="D90:G90"/>
    <mergeCell ref="A8:A10"/>
    <mergeCell ref="B8:B10"/>
    <mergeCell ref="C8:D10"/>
    <mergeCell ref="B86:E86"/>
    <mergeCell ref="K83:N85"/>
    <mergeCell ref="B84:E84"/>
    <mergeCell ref="K86:N88"/>
    <mergeCell ref="B87:E87"/>
    <mergeCell ref="B88:E88"/>
    <mergeCell ref="B85:E85"/>
    <mergeCell ref="A81:M81"/>
  </mergeCells>
  <phoneticPr fontId="11" type="noConversion"/>
  <conditionalFormatting sqref="N11:N80">
    <cfRule type="cellIs" dxfId="7" priority="1" stopIfTrue="1" operator="lessThan">
      <formula>4</formula>
    </cfRule>
  </conditionalFormatting>
  <dataValidations count="3">
    <dataValidation type="decimal" allowBlank="1" showInputMessage="1" showErrorMessage="1" errorTitle="Nhap sai" error="Hãy nhập lại_x000a_0 ≤ Điểm ≤ 10" sqref="M65:M70 M78:M80">
      <formula1>0</formula1>
      <formula2>10</formula2>
    </dataValidation>
    <dataValidation type="whole" allowBlank="1" showInputMessage="1" showErrorMessage="1" errorTitle="Nhap sai" error="Hãy nhập lại_x000a_0 ≤ Điểm ≤ 10" sqref="K65:L69 F78:I80 F65:I69 F70:L70 K78:L80">
      <formula1>0</formula1>
      <formula2>10</formula2>
    </dataValidation>
    <dataValidation type="decimal" allowBlank="1" showInputMessage="1" showErrorMessage="1" sqref="J65:J69 J78:J80">
      <formula1>0</formula1>
      <formula2>10</formula2>
    </dataValidation>
  </dataValidations>
  <printOptions horizontalCentered="1"/>
  <pageMargins left="0.5" right="0" top="0.25" bottom="0.25" header="0.25" footer="0.25"/>
  <pageSetup paperSize="9" scale="90" orientation="portrait" horizontalDpi="1200" verticalDpi="12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Q90"/>
  <sheetViews>
    <sheetView view="pageBreakPreview" topLeftCell="A52" zoomScale="130" zoomScaleSheetLayoutView="130" workbookViewId="0">
      <selection activeCell="A60" sqref="A60:IV60"/>
    </sheetView>
  </sheetViews>
  <sheetFormatPr defaultRowHeight="12.75"/>
  <cols>
    <col min="1" max="1" width="3.85546875" style="136" bestFit="1" customWidth="1"/>
    <col min="2" max="2" width="11" style="136" customWidth="1"/>
    <col min="3" max="3" width="20" style="136" bestFit="1" customWidth="1"/>
    <col min="4" max="4" width="7.5703125" style="136" bestFit="1" customWidth="1"/>
    <col min="5" max="12" width="6.42578125" style="136" customWidth="1"/>
    <col min="13" max="13" width="8.42578125" style="136" bestFit="1" customWidth="1"/>
    <col min="14" max="14" width="7.140625" style="136" customWidth="1"/>
    <col min="15" max="15" width="7.42578125" style="147" hidden="1" customWidth="1"/>
    <col min="16" max="17" width="7" style="147" hidden="1" customWidth="1"/>
    <col min="18" max="16384" width="9.140625" style="136"/>
  </cols>
  <sheetData>
    <row r="1" spans="1:17" ht="15.75">
      <c r="A1" s="633" t="s">
        <v>2695</v>
      </c>
      <c r="B1" s="633"/>
      <c r="C1" s="633"/>
      <c r="D1" s="633"/>
      <c r="E1" s="633"/>
      <c r="F1" s="633"/>
      <c r="G1" s="140"/>
      <c r="H1" s="632" t="s">
        <v>249</v>
      </c>
      <c r="I1" s="632"/>
      <c r="J1" s="632"/>
      <c r="K1" s="632"/>
      <c r="L1" s="632"/>
      <c r="M1" s="632"/>
      <c r="N1" s="632"/>
      <c r="O1" s="155"/>
      <c r="P1" s="136"/>
      <c r="Q1" s="136"/>
    </row>
    <row r="2" spans="1:17" ht="29.25" customHeight="1">
      <c r="A2" s="631" t="s">
        <v>2687</v>
      </c>
      <c r="B2" s="632"/>
      <c r="C2" s="632"/>
      <c r="D2" s="632"/>
      <c r="E2" s="632"/>
      <c r="F2" s="632"/>
      <c r="G2" s="157"/>
      <c r="H2" s="638" t="s">
        <v>250</v>
      </c>
      <c r="I2" s="638"/>
      <c r="J2" s="638"/>
      <c r="K2" s="638"/>
      <c r="L2" s="638"/>
      <c r="M2" s="638"/>
      <c r="N2" s="638"/>
      <c r="O2" s="155"/>
      <c r="P2" s="136"/>
      <c r="Q2" s="136"/>
    </row>
    <row r="3" spans="1:17" ht="19.5" customHeight="1">
      <c r="A3" s="633"/>
      <c r="B3" s="633"/>
      <c r="C3" s="633"/>
      <c r="D3" s="633"/>
      <c r="E3" s="633"/>
      <c r="F3" s="633"/>
      <c r="G3" s="156"/>
      <c r="J3" s="177"/>
      <c r="K3" s="137"/>
      <c r="L3" s="147"/>
      <c r="M3" s="147"/>
      <c r="N3" s="147"/>
    </row>
    <row r="4" spans="1:17" ht="24" customHeight="1">
      <c r="A4" s="635" t="s">
        <v>251</v>
      </c>
      <c r="B4" s="635"/>
      <c r="C4" s="635"/>
      <c r="D4" s="635"/>
      <c r="E4" s="635"/>
      <c r="F4" s="635"/>
      <c r="G4" s="635"/>
      <c r="H4" s="635"/>
      <c r="I4" s="635"/>
      <c r="J4" s="635"/>
      <c r="K4" s="635"/>
      <c r="L4" s="635"/>
      <c r="M4" s="635"/>
      <c r="N4" s="635"/>
    </row>
    <row r="5" spans="1:17" ht="9.75" customHeight="1">
      <c r="A5" s="635"/>
      <c r="B5" s="635"/>
      <c r="C5" s="635"/>
      <c r="D5" s="635"/>
      <c r="E5" s="635"/>
      <c r="F5" s="635"/>
      <c r="G5" s="635"/>
      <c r="H5" s="635"/>
      <c r="I5" s="635"/>
      <c r="J5" s="635"/>
      <c r="K5" s="635"/>
      <c r="L5" s="635"/>
    </row>
    <row r="6" spans="1:17" s="139" customFormat="1" ht="17.25" customHeight="1">
      <c r="A6" s="656" t="s">
        <v>252</v>
      </c>
      <c r="B6" s="656"/>
      <c r="C6" s="637" t="str">
        <f>IF($L$6="","",IF(VLOOKUP($L$6,'LOP-MON'!$B$2:$N$43,6,FALSE)=0,"",VLOOKUP($L$6,'LOP-MON'!$B$2:$N$43,6,FALSE)))</f>
        <v>Điện công nghiệp</v>
      </c>
      <c r="D6" s="637"/>
      <c r="E6" s="637"/>
      <c r="F6" s="637"/>
      <c r="G6" s="636" t="s">
        <v>271</v>
      </c>
      <c r="H6" s="636"/>
      <c r="I6" s="183">
        <f>IF(L6="","",IF(VLOOKUP(CONCATENATE("TC",MID(L6,1,4),MID(L6,6,3)),'LOP-MON'!$B$2:$N$43,6,FALSE)=0,"",VLOOKUP(CONCATENATE("TC",MID(L6,1,4),MID(L6,6,3)),'LOP-MON'!$B$2:$N$43,6,FALSE)))</f>
        <v>3</v>
      </c>
      <c r="K6" s="19" t="s">
        <v>187</v>
      </c>
      <c r="L6" s="637" t="str">
        <f>HKI!$D$3</f>
        <v>13CĐ-Đ1</v>
      </c>
      <c r="M6" s="637"/>
      <c r="O6" s="24"/>
      <c r="P6" s="24"/>
      <c r="Q6" s="24"/>
    </row>
    <row r="7" spans="1:17" s="140" customFormat="1" ht="17.25" customHeight="1">
      <c r="C7" s="100" t="s">
        <v>253</v>
      </c>
      <c r="D7" s="634" t="s">
        <v>2693</v>
      </c>
      <c r="E7" s="634"/>
      <c r="G7" s="172"/>
      <c r="H7" s="634" t="s">
        <v>254</v>
      </c>
      <c r="I7" s="634"/>
      <c r="J7" s="634" t="s">
        <v>2694</v>
      </c>
      <c r="K7" s="634"/>
      <c r="L7" s="634"/>
      <c r="N7" s="19"/>
      <c r="O7" s="100"/>
      <c r="P7" s="135"/>
      <c r="Q7" s="135"/>
    </row>
    <row r="8" spans="1:17" s="139" customFormat="1" ht="15" customHeight="1">
      <c r="A8" s="646" t="s">
        <v>255</v>
      </c>
      <c r="B8" s="646" t="s">
        <v>188</v>
      </c>
      <c r="C8" s="646" t="s">
        <v>189</v>
      </c>
      <c r="D8" s="646"/>
      <c r="E8" s="646" t="s">
        <v>259</v>
      </c>
      <c r="F8" s="640" t="s">
        <v>261</v>
      </c>
      <c r="G8" s="640" t="s">
        <v>262</v>
      </c>
      <c r="H8" s="640" t="s">
        <v>263</v>
      </c>
      <c r="I8" s="640" t="s">
        <v>264</v>
      </c>
      <c r="J8" s="640" t="s">
        <v>265</v>
      </c>
      <c r="K8" s="640" t="s">
        <v>266</v>
      </c>
      <c r="L8" s="640" t="s">
        <v>267</v>
      </c>
      <c r="M8" s="640" t="s">
        <v>268</v>
      </c>
      <c r="N8" s="640" t="s">
        <v>260</v>
      </c>
      <c r="O8" s="639" t="s">
        <v>258</v>
      </c>
      <c r="P8" s="639" t="s">
        <v>269</v>
      </c>
      <c r="Q8" s="639" t="s">
        <v>270</v>
      </c>
    </row>
    <row r="9" spans="1:17" s="24" customFormat="1" ht="28.5" customHeight="1">
      <c r="A9" s="646"/>
      <c r="B9" s="646"/>
      <c r="C9" s="646"/>
      <c r="D9" s="646"/>
      <c r="E9" s="646"/>
      <c r="F9" s="640"/>
      <c r="G9" s="640"/>
      <c r="H9" s="640"/>
      <c r="I9" s="640"/>
      <c r="J9" s="640"/>
      <c r="K9" s="640"/>
      <c r="L9" s="640"/>
      <c r="M9" s="640"/>
      <c r="N9" s="640"/>
      <c r="O9" s="639"/>
      <c r="P9" s="639"/>
      <c r="Q9" s="639"/>
    </row>
    <row r="10" spans="1:17" s="24" customFormat="1" ht="15">
      <c r="A10" s="646"/>
      <c r="B10" s="646"/>
      <c r="C10" s="646"/>
      <c r="D10" s="646"/>
      <c r="E10" s="646"/>
      <c r="F10" s="648">
        <v>0.2</v>
      </c>
      <c r="G10" s="640"/>
      <c r="H10" s="640"/>
      <c r="I10" s="640"/>
      <c r="J10" s="640"/>
      <c r="K10" s="640"/>
      <c r="L10" s="6">
        <v>0.3</v>
      </c>
      <c r="M10" s="6">
        <v>0.5</v>
      </c>
      <c r="N10" s="640"/>
      <c r="O10" s="639"/>
      <c r="P10" s="158">
        <v>0.5</v>
      </c>
      <c r="Q10" s="639"/>
    </row>
    <row r="11" spans="1:17" ht="18" customHeight="1">
      <c r="A11" s="123">
        <f>IF(OR($C$6="",$I$6="",$L$6=""),"",IF($B11="","",SUBTOTAL(3,$B$11:B11)))</f>
        <v>1</v>
      </c>
      <c r="B11" s="151" t="str">
        <f>IF(OR($C$6="",$I$6="",$L$6=""),"",IF(HKI!$B11="","",HKI!$B11))</f>
        <v>13D301Đ001</v>
      </c>
      <c r="C11" s="26" t="str">
        <f>IF(OR($C$6="",$I$6="",$L$6=""),"",IF(HKI!$C11="","",HKI!$C11))</f>
        <v>Lương Hoàng Thuận</v>
      </c>
      <c r="D11" s="152" t="str">
        <f>IF(OR($C$6="",$I$6="",$L$6=""),"",IF(HKI!$D11="","",HKI!$D11))</f>
        <v>An</v>
      </c>
      <c r="E11" s="459"/>
      <c r="F11" s="460">
        <v>5</v>
      </c>
      <c r="G11" s="460">
        <v>5</v>
      </c>
      <c r="H11" s="460">
        <v>5</v>
      </c>
      <c r="I11" s="460">
        <v>5</v>
      </c>
      <c r="J11" s="460"/>
      <c r="K11" s="460"/>
      <c r="L11" s="460">
        <v>5</v>
      </c>
      <c r="M11" s="460">
        <v>3.3</v>
      </c>
      <c r="N11" s="175">
        <f>IF($B11="","",IF(ISNUMBER($E11)=TRUE,$E11,IF(COUNT($F11:$M11)=0,"",IF(COUNT($F11:$K11)=0,ROUND(0.3*$L11+0.5*$M11,1),ROUND(0.2*(SUM($F11:$K11)/COUNT($F11:$K11))+0.3*$L11+0.5*$M11,1)))))</f>
        <v>4.2</v>
      </c>
      <c r="O11" s="173" t="str">
        <f t="shared" ref="O11:O74" si="0">IF($B11="","",IF($N11="","KXL",IF($N11&lt;4,"Kém",IF($N11&lt;5.5,"TB Yếu",IF($N11&lt;7,"T.Bình",IF($N11&lt;8.5,"Khá","Giỏi"))))))</f>
        <v>TB Yếu</v>
      </c>
      <c r="P11" s="159" t="str">
        <f>IF(OR($B11="",$C$6&lt;&gt;HKI!$X$6,HKI!$Z11=""),"",HKI!$Z11)</f>
        <v/>
      </c>
      <c r="Q11" s="159" t="str">
        <f>IF(OR(ISNUMBER($E11)=TRUE,$B11="",$P11=""),"",IF(COUNT($F11:$M11)=0,"",IF($M11&gt;=$P11,$N11,IF(COUNT($F11:$K11)=0,ROUND(0.3*$L11+0.5*$P11,1),ROUND(0.2*(SUM($F11:$K11)/COUNT($F11:$K11))+0.3*$L11+0.5*$P11,1)))))</f>
        <v/>
      </c>
    </row>
    <row r="12" spans="1:17" ht="18" customHeight="1">
      <c r="A12" s="123">
        <f>IF(OR($C$6="",$I$6="",$L$6=""),"",IF(B12="","",SUBTOTAL(3,$B$11:B12)))</f>
        <v>2</v>
      </c>
      <c r="B12" s="151" t="str">
        <f>IF(OR($C$6="",$I$6="",$L$6=""),"",IF(HKI!$B12="","",HKI!$B12))</f>
        <v>13D301Đ004</v>
      </c>
      <c r="C12" s="26" t="str">
        <f>IF(OR($C$6="",$I$6="",$L$6=""),"",IF(HKI!$C12="","",HKI!$C12))</f>
        <v>Đặng Thế</v>
      </c>
      <c r="D12" s="152" t="str">
        <f>IF(OR($C$6="",$I$6="",$L$6=""),"",IF(HKI!$D12="","",HKI!$D12))</f>
        <v>Anh</v>
      </c>
      <c r="E12" s="461"/>
      <c r="F12" s="462">
        <v>3</v>
      </c>
      <c r="G12" s="462">
        <v>4</v>
      </c>
      <c r="H12" s="462">
        <v>4</v>
      </c>
      <c r="I12" s="462">
        <v>5</v>
      </c>
      <c r="J12" s="462"/>
      <c r="K12" s="462"/>
      <c r="L12" s="462">
        <v>4</v>
      </c>
      <c r="M12" s="462">
        <v>2</v>
      </c>
      <c r="N12" s="175">
        <f t="shared" ref="N12:N75" si="1">IF($B12="","",IF(ISNUMBER($E12)=TRUE,$E12,IF(COUNT($F12:$M12)=0,"",IF(COUNT($F12:$K12)=0,ROUND(0.3*$L12+0.5*$M12,1),ROUND(0.2*(SUM($F12:$K12)/COUNT($F12:$K12))+0.3*$L12+0.5*$M12,1)))))</f>
        <v>3</v>
      </c>
      <c r="O12" s="173" t="str">
        <f t="shared" si="0"/>
        <v>Kém</v>
      </c>
      <c r="P12" s="159" t="str">
        <f>IF(OR($B12="",$C$6&lt;&gt;HKI!$X$6,HKI!$Z12=""),"",HKI!$Z12)</f>
        <v/>
      </c>
      <c r="Q12" s="159" t="str">
        <f t="shared" ref="Q12:Q75" si="2">IF(OR(ISNUMBER($E12)=TRUE,$B12="",$P12=""),"",IF(COUNT($F12:$M12)=0,"",IF($M12&gt;=$P12,$N12,IF(COUNT($F12:$K12)=0,ROUND(0.3*$L12+0.5*$P12,1),ROUND(0.2*(SUM($F12:$K12)/COUNT($F12:$K12))+0.3*$L12+0.5*$P12,1)))))</f>
        <v/>
      </c>
    </row>
    <row r="13" spans="1:17" ht="18" customHeight="1">
      <c r="A13" s="123">
        <f>IF(OR($C$6="",$I$6="",$L$6=""),"",IF(B13="","",SUBTOTAL(3,$B$11:B13)))</f>
        <v>3</v>
      </c>
      <c r="B13" s="151" t="str">
        <f>IF(OR($C$6="",$I$6="",$L$6=""),"",IF(HKI!$B13="","",HKI!$B13))</f>
        <v>13D301Đ149</v>
      </c>
      <c r="C13" s="26" t="str">
        <f>IF(OR($C$6="",$I$6="",$L$6=""),"",IF(HKI!$C13="","",HKI!$C13))</f>
        <v>Đỗ Huỳnh</v>
      </c>
      <c r="D13" s="152" t="str">
        <f>IF(OR($C$6="",$I$6="",$L$6=""),"",IF(HKI!$D13="","",HKI!$D13))</f>
        <v>Bảo</v>
      </c>
      <c r="E13" s="461"/>
      <c r="F13" s="462">
        <v>5</v>
      </c>
      <c r="G13" s="462">
        <v>5</v>
      </c>
      <c r="H13" s="462">
        <v>5</v>
      </c>
      <c r="I13" s="462">
        <v>7</v>
      </c>
      <c r="J13" s="462"/>
      <c r="K13" s="462"/>
      <c r="L13" s="462">
        <v>6</v>
      </c>
      <c r="M13" s="462">
        <v>2.2999999999999998</v>
      </c>
      <c r="N13" s="175">
        <f t="shared" si="1"/>
        <v>4.0999999999999996</v>
      </c>
      <c r="O13" s="173" t="str">
        <f t="shared" si="0"/>
        <v>TB Yếu</v>
      </c>
      <c r="P13" s="159" t="str">
        <f>IF(OR($B13="",$C$6&lt;&gt;HKI!$X$6,HKI!$Z13=""),"",HKI!$Z13)</f>
        <v/>
      </c>
      <c r="Q13" s="159" t="str">
        <f t="shared" si="2"/>
        <v/>
      </c>
    </row>
    <row r="14" spans="1:17" ht="18" customHeight="1">
      <c r="A14" s="123">
        <f>IF(OR($C$6="",$I$6="",$L$6=""),"",IF(B14="","",SUBTOTAL(3,$B$11:B14)))</f>
        <v>4</v>
      </c>
      <c r="B14" s="151" t="str">
        <f>IF(OR($C$6="",$I$6="",$L$6=""),"",IF(HKI!$B14="","",HKI!$B14))</f>
        <v>13D301Đ008</v>
      </c>
      <c r="C14" s="26" t="str">
        <f>IF(OR($C$6="",$I$6="",$L$6=""),"",IF(HKI!$C14="","",HKI!$C14))</f>
        <v>Trương Vũ</v>
      </c>
      <c r="D14" s="152" t="str">
        <f>IF(OR($C$6="",$I$6="",$L$6=""),"",IF(HKI!$D14="","",HKI!$D14))</f>
        <v>Bảo</v>
      </c>
      <c r="E14" s="461"/>
      <c r="F14" s="462">
        <v>5</v>
      </c>
      <c r="G14" s="462">
        <v>6</v>
      </c>
      <c r="H14" s="462">
        <v>6</v>
      </c>
      <c r="I14" s="462">
        <v>7</v>
      </c>
      <c r="J14" s="462"/>
      <c r="K14" s="462"/>
      <c r="L14" s="462">
        <v>6</v>
      </c>
      <c r="M14" s="462">
        <v>3</v>
      </c>
      <c r="N14" s="175">
        <f t="shared" si="1"/>
        <v>4.5</v>
      </c>
      <c r="O14" s="173" t="str">
        <f t="shared" si="0"/>
        <v>TB Yếu</v>
      </c>
      <c r="P14" s="159" t="str">
        <f>IF(OR($B14="",$C$6&lt;&gt;HKI!$X$6,HKI!$Z14=""),"",HKI!$Z14)</f>
        <v/>
      </c>
      <c r="Q14" s="159" t="str">
        <f t="shared" si="2"/>
        <v/>
      </c>
    </row>
    <row r="15" spans="1:17" ht="18" customHeight="1">
      <c r="A15" s="123">
        <f>IF(OR($C$6="",$I$6="",$L$6=""),"",IF(B15="","",SUBTOTAL(3,$B$11:B15)))</f>
        <v>5</v>
      </c>
      <c r="B15" s="151" t="str">
        <f>IF(OR($C$6="",$I$6="",$L$6=""),"",IF(HKI!$B15="","",HKI!$B15))</f>
        <v>13D301Đ009</v>
      </c>
      <c r="C15" s="26" t="str">
        <f>IF(OR($C$6="",$I$6="",$L$6=""),"",IF(HKI!$C15="","",HKI!$C15))</f>
        <v>Võ Thành</v>
      </c>
      <c r="D15" s="152" t="str">
        <f>IF(OR($C$6="",$I$6="",$L$6=""),"",IF(HKI!$D15="","",HKI!$D15))</f>
        <v>Bảo</v>
      </c>
      <c r="E15" s="461"/>
      <c r="F15" s="462">
        <v>3</v>
      </c>
      <c r="G15" s="462">
        <v>5</v>
      </c>
      <c r="H15" s="462">
        <v>4</v>
      </c>
      <c r="I15" s="462">
        <v>7</v>
      </c>
      <c r="J15" s="462"/>
      <c r="K15" s="462"/>
      <c r="L15" s="462">
        <v>4</v>
      </c>
      <c r="M15" s="462">
        <v>2</v>
      </c>
      <c r="N15" s="175">
        <f t="shared" si="1"/>
        <v>3.2</v>
      </c>
      <c r="O15" s="173" t="str">
        <f t="shared" si="0"/>
        <v>Kém</v>
      </c>
      <c r="P15" s="159" t="str">
        <f>IF(OR($B15="",$C$6&lt;&gt;HKI!$X$6,HKI!$Z15=""),"",HKI!$Z15)</f>
        <v/>
      </c>
      <c r="Q15" s="159" t="str">
        <f t="shared" si="2"/>
        <v/>
      </c>
    </row>
    <row r="16" spans="1:17" ht="18" customHeight="1">
      <c r="A16" s="123">
        <f>IF(OR($C$6="",$I$6="",$L$6=""),"",IF(B16="","",SUBTOTAL(3,$B$11:B16)))</f>
        <v>6</v>
      </c>
      <c r="B16" s="151" t="str">
        <f>IF(OR($C$6="",$I$6="",$L$6=""),"",IF(HKI!$B16="","",HKI!$B16))</f>
        <v>13D301Đ013</v>
      </c>
      <c r="C16" s="26" t="str">
        <f>IF(OR($C$6="",$I$6="",$L$6=""),"",IF(HKI!$C16="","",HKI!$C16))</f>
        <v>Nguyễn Chí</v>
      </c>
      <c r="D16" s="152" t="str">
        <f>IF(OR($C$6="",$I$6="",$L$6=""),"",IF(HKI!$D16="","",HKI!$D16))</f>
        <v>Bình</v>
      </c>
      <c r="E16" s="461"/>
      <c r="F16" s="462">
        <v>3</v>
      </c>
      <c r="G16" s="462">
        <v>4</v>
      </c>
      <c r="H16" s="462">
        <v>5</v>
      </c>
      <c r="I16" s="462">
        <v>7</v>
      </c>
      <c r="J16" s="462"/>
      <c r="K16" s="462"/>
      <c r="L16" s="462">
        <v>3</v>
      </c>
      <c r="M16" s="462">
        <v>1.3</v>
      </c>
      <c r="N16" s="175">
        <f t="shared" si="1"/>
        <v>2.5</v>
      </c>
      <c r="O16" s="173" t="str">
        <f t="shared" si="0"/>
        <v>Kém</v>
      </c>
      <c r="P16" s="159" t="str">
        <f>IF(OR($B16="",$C$6&lt;&gt;HKI!$X$6,HKI!$Z16=""),"",HKI!$Z16)</f>
        <v/>
      </c>
      <c r="Q16" s="159" t="str">
        <f t="shared" si="2"/>
        <v/>
      </c>
    </row>
    <row r="17" spans="1:17" ht="18" customHeight="1">
      <c r="A17" s="123">
        <f>IF(OR($C$6="",$I$6="",$L$6=""),"",IF(B17="","",SUBTOTAL(3,$B$11:B17)))</f>
        <v>7</v>
      </c>
      <c r="B17" s="151" t="str">
        <f>IF(OR($C$6="",$I$6="",$L$6=""),"",IF(HKI!$B17="","",HKI!$B17))</f>
        <v>13D301Đ016</v>
      </c>
      <c r="C17" s="26" t="str">
        <f>IF(OR($C$6="",$I$6="",$L$6=""),"",IF(HKI!$C17="","",HKI!$C17))</f>
        <v>Vũ Văn</v>
      </c>
      <c r="D17" s="152" t="str">
        <f>IF(OR($C$6="",$I$6="",$L$6=""),"",IF(HKI!$D17="","",HKI!$D17))</f>
        <v>Chiến</v>
      </c>
      <c r="E17" s="461"/>
      <c r="F17" s="462">
        <v>3</v>
      </c>
      <c r="G17" s="462">
        <v>3</v>
      </c>
      <c r="H17" s="462">
        <v>3</v>
      </c>
      <c r="I17" s="462">
        <v>5</v>
      </c>
      <c r="J17" s="462"/>
      <c r="K17" s="462"/>
      <c r="L17" s="462">
        <v>4</v>
      </c>
      <c r="M17" s="462">
        <v>2.2999999999999998</v>
      </c>
      <c r="N17" s="175">
        <f t="shared" si="1"/>
        <v>3.1</v>
      </c>
      <c r="O17" s="173" t="str">
        <f t="shared" si="0"/>
        <v>Kém</v>
      </c>
      <c r="P17" s="159" t="str">
        <f>IF(OR($B17="",$C$6&lt;&gt;HKI!$X$6,HKI!$Z17=""),"",HKI!$Z17)</f>
        <v/>
      </c>
      <c r="Q17" s="159" t="str">
        <f t="shared" si="2"/>
        <v/>
      </c>
    </row>
    <row r="18" spans="1:17" ht="18" customHeight="1">
      <c r="A18" s="123">
        <f>IF(OR($C$6="",$I$6="",$L$6=""),"",IF(B18="","",SUBTOTAL(3,$B$11:B18)))</f>
        <v>8</v>
      </c>
      <c r="B18" s="151" t="str">
        <f>IF(OR($C$6="",$I$6="",$L$6=""),"",IF(HKI!$B18="","",HKI!$B18))</f>
        <v>13D301Đ017</v>
      </c>
      <c r="C18" s="26" t="str">
        <f>IF(OR($C$6="",$I$6="",$L$6=""),"",IF(HKI!$C18="","",HKI!$C18))</f>
        <v>Trần Văn</v>
      </c>
      <c r="D18" s="152" t="str">
        <f>IF(OR($C$6="",$I$6="",$L$6=""),"",IF(HKI!$D18="","",HKI!$D18))</f>
        <v>Chinh</v>
      </c>
      <c r="E18" s="461"/>
      <c r="F18" s="462">
        <v>5</v>
      </c>
      <c r="G18" s="462">
        <v>5</v>
      </c>
      <c r="H18" s="462">
        <v>5</v>
      </c>
      <c r="I18" s="462">
        <v>5</v>
      </c>
      <c r="J18" s="462"/>
      <c r="K18" s="462"/>
      <c r="L18" s="462">
        <v>5</v>
      </c>
      <c r="M18" s="462">
        <v>3</v>
      </c>
      <c r="N18" s="175">
        <f t="shared" si="1"/>
        <v>4</v>
      </c>
      <c r="O18" s="173" t="str">
        <f t="shared" si="0"/>
        <v>TB Yếu</v>
      </c>
      <c r="P18" s="159" t="str">
        <f>IF(OR($B18="",$C$6&lt;&gt;HKI!$X$6,HKI!$Z18=""),"",HKI!$Z18)</f>
        <v/>
      </c>
      <c r="Q18" s="159" t="str">
        <f t="shared" si="2"/>
        <v/>
      </c>
    </row>
    <row r="19" spans="1:17" ht="18" customHeight="1">
      <c r="A19" s="123">
        <f>IF(OR($C$6="",$I$6="",$L$6=""),"",IF(B19="","",SUBTOTAL(3,$B$11:B19)))</f>
        <v>9</v>
      </c>
      <c r="B19" s="151" t="str">
        <f>IF(OR($C$6="",$I$6="",$L$6=""),"",IF(HKI!$B19="","",HKI!$B19))</f>
        <v>13D301Đ193</v>
      </c>
      <c r="C19" s="26" t="str">
        <f>IF(OR($C$6="",$I$6="",$L$6=""),"",IF(HKI!$C19="","",HKI!$C19))</f>
        <v>Phạm Công</v>
      </c>
      <c r="D19" s="152" t="str">
        <f>IF(OR($C$6="",$I$6="",$L$6=""),"",IF(HKI!$D19="","",HKI!$D19))</f>
        <v>Chính</v>
      </c>
      <c r="E19" s="461"/>
      <c r="F19" s="462">
        <v>3</v>
      </c>
      <c r="G19" s="462">
        <v>3</v>
      </c>
      <c r="H19" s="462">
        <v>3</v>
      </c>
      <c r="I19" s="462">
        <v>5</v>
      </c>
      <c r="J19" s="462"/>
      <c r="K19" s="462"/>
      <c r="L19" s="462">
        <v>4</v>
      </c>
      <c r="M19" s="462">
        <v>2.8</v>
      </c>
      <c r="N19" s="175">
        <f t="shared" si="1"/>
        <v>3.3</v>
      </c>
      <c r="O19" s="173" t="str">
        <f t="shared" si="0"/>
        <v>Kém</v>
      </c>
      <c r="P19" s="159" t="str">
        <f>IF(OR($B19="",$C$6&lt;&gt;HKI!$X$6,HKI!$Z19=""),"",HKI!$Z19)</f>
        <v/>
      </c>
      <c r="Q19" s="159" t="str">
        <f t="shared" si="2"/>
        <v/>
      </c>
    </row>
    <row r="20" spans="1:17" ht="18" customHeight="1">
      <c r="A20" s="123">
        <f>IF(OR($C$6="",$I$6="",$L$6=""),"",IF(B20="","",SUBTOTAL(3,$B$11:B20)))</f>
        <v>10</v>
      </c>
      <c r="B20" s="151" t="str">
        <f>IF(OR($C$6="",$I$6="",$L$6=""),"",IF(HKI!$B20="","",HKI!$B20))</f>
        <v>13D301Đ020</v>
      </c>
      <c r="C20" s="26" t="str">
        <f>IF(OR($C$6="",$I$6="",$L$6=""),"",IF(HKI!$C20="","",HKI!$C20))</f>
        <v>Trịnh Lê</v>
      </c>
      <c r="D20" s="152" t="str">
        <f>IF(OR($C$6="",$I$6="",$L$6=""),"",IF(HKI!$D20="","",HKI!$D20))</f>
        <v>Cung</v>
      </c>
      <c r="E20" s="461"/>
      <c r="F20" s="462">
        <v>3</v>
      </c>
      <c r="G20" s="462">
        <v>3</v>
      </c>
      <c r="H20" s="462">
        <v>4</v>
      </c>
      <c r="I20" s="462">
        <v>5</v>
      </c>
      <c r="J20" s="462"/>
      <c r="K20" s="462"/>
      <c r="L20" s="462">
        <v>4</v>
      </c>
      <c r="M20" s="462">
        <v>2.5</v>
      </c>
      <c r="N20" s="175">
        <f t="shared" si="1"/>
        <v>3.2</v>
      </c>
      <c r="O20" s="173" t="str">
        <f t="shared" si="0"/>
        <v>Kém</v>
      </c>
      <c r="P20" s="159" t="str">
        <f>IF(OR($B20="",$C$6&lt;&gt;HKI!$X$6,HKI!$Z20=""),"",HKI!$Z20)</f>
        <v/>
      </c>
      <c r="Q20" s="159" t="str">
        <f t="shared" si="2"/>
        <v/>
      </c>
    </row>
    <row r="21" spans="1:17" ht="18" customHeight="1">
      <c r="A21" s="123">
        <f>IF(OR($C$6="",$I$6="",$L$6=""),"",IF(B21="","",SUBTOTAL(3,$B$11:B21)))</f>
        <v>11</v>
      </c>
      <c r="B21" s="151" t="str">
        <f>IF(OR($C$6="",$I$6="",$L$6=""),"",IF(HKI!$B21="","",HKI!$B21))</f>
        <v>13D301Đ021</v>
      </c>
      <c r="C21" s="26" t="str">
        <f>IF(OR($C$6="",$I$6="",$L$6=""),"",IF(HKI!$C21="","",HKI!$C21))</f>
        <v>Nguyễn Chí</v>
      </c>
      <c r="D21" s="152" t="str">
        <f>IF(OR($C$6="",$I$6="",$L$6=""),"",IF(HKI!$D21="","",HKI!$D21))</f>
        <v>Cường</v>
      </c>
      <c r="E21" s="461"/>
      <c r="F21" s="462">
        <v>5</v>
      </c>
      <c r="G21" s="462">
        <v>5</v>
      </c>
      <c r="H21" s="462">
        <v>5</v>
      </c>
      <c r="I21" s="462">
        <v>5</v>
      </c>
      <c r="J21" s="462"/>
      <c r="K21" s="462"/>
      <c r="L21" s="462">
        <v>5</v>
      </c>
      <c r="M21" s="462">
        <v>3.3</v>
      </c>
      <c r="N21" s="175">
        <f t="shared" si="1"/>
        <v>4.2</v>
      </c>
      <c r="O21" s="173" t="str">
        <f t="shared" si="0"/>
        <v>TB Yếu</v>
      </c>
      <c r="P21" s="159" t="str">
        <f>IF(OR($B21="",$C$6&lt;&gt;HKI!$X$6,HKI!$Z21=""),"",HKI!$Z21)</f>
        <v/>
      </c>
      <c r="Q21" s="159" t="str">
        <f t="shared" si="2"/>
        <v/>
      </c>
    </row>
    <row r="22" spans="1:17" ht="18" customHeight="1">
      <c r="A22" s="123">
        <f>IF(OR($C$6="",$I$6="",$L$6=""),"",IF(B22="","",SUBTOTAL(3,$B$11:B22)))</f>
        <v>12</v>
      </c>
      <c r="B22" s="151" t="str">
        <f>IF(OR($C$6="",$I$6="",$L$6=""),"",IF(HKI!$B22="","",HKI!$B22))</f>
        <v>13D301Đ033</v>
      </c>
      <c r="C22" s="26" t="str">
        <f>IF(OR($C$6="",$I$6="",$L$6=""),"",IF(HKI!$C22="","",HKI!$C22))</f>
        <v xml:space="preserve">Trương Văn </v>
      </c>
      <c r="D22" s="152" t="str">
        <f>IF(OR($C$6="",$I$6="",$L$6=""),"",IF(HKI!$D22="","",HKI!$D22))</f>
        <v>Đạt</v>
      </c>
      <c r="E22" s="461"/>
      <c r="F22" s="462">
        <v>5</v>
      </c>
      <c r="G22" s="462">
        <v>6</v>
      </c>
      <c r="H22" s="462">
        <v>6</v>
      </c>
      <c r="I22" s="462">
        <v>7</v>
      </c>
      <c r="J22" s="462"/>
      <c r="K22" s="462"/>
      <c r="L22" s="462">
        <v>6</v>
      </c>
      <c r="M22" s="462">
        <v>4.3</v>
      </c>
      <c r="N22" s="175">
        <f t="shared" si="1"/>
        <v>5.2</v>
      </c>
      <c r="O22" s="173" t="str">
        <f t="shared" si="0"/>
        <v>TB Yếu</v>
      </c>
      <c r="P22" s="159" t="str">
        <f>IF(OR($B22="",$C$6&lt;&gt;HKI!$X$6,HKI!$Z22=""),"",HKI!$Z22)</f>
        <v/>
      </c>
      <c r="Q22" s="159" t="str">
        <f t="shared" si="2"/>
        <v/>
      </c>
    </row>
    <row r="23" spans="1:17" ht="18" customHeight="1">
      <c r="A23" s="123">
        <f>IF(OR($C$6="",$I$6="",$L$6=""),"",IF(B23="","",SUBTOTAL(3,$B$11:B23)))</f>
        <v>13</v>
      </c>
      <c r="B23" s="151" t="str">
        <f>IF(OR($C$6="",$I$6="",$L$6=""),"",IF(HKI!$B23="","",HKI!$B23))</f>
        <v>13D301Đ037</v>
      </c>
      <c r="C23" s="26" t="str">
        <f>IF(OR($C$6="",$I$6="",$L$6=""),"",IF(HKI!$C23="","",HKI!$C23))</f>
        <v>Nguyễn Thành</v>
      </c>
      <c r="D23" s="152" t="str">
        <f>IF(OR($C$6="",$I$6="",$L$6=""),"",IF(HKI!$D23="","",HKI!$D23))</f>
        <v>Đông</v>
      </c>
      <c r="E23" s="461"/>
      <c r="F23" s="462">
        <v>3</v>
      </c>
      <c r="G23" s="462">
        <v>5</v>
      </c>
      <c r="H23" s="462">
        <v>5</v>
      </c>
      <c r="I23" s="462">
        <v>5</v>
      </c>
      <c r="J23" s="462"/>
      <c r="K23" s="462"/>
      <c r="L23" s="462">
        <v>5</v>
      </c>
      <c r="M23" s="462">
        <v>3.3</v>
      </c>
      <c r="N23" s="175">
        <f t="shared" si="1"/>
        <v>4.0999999999999996</v>
      </c>
      <c r="O23" s="173" t="str">
        <f t="shared" si="0"/>
        <v>TB Yếu</v>
      </c>
      <c r="P23" s="159" t="str">
        <f>IF(OR($B23="",$C$6&lt;&gt;HKI!$X$6,HKI!$Z23=""),"",HKI!$Z23)</f>
        <v/>
      </c>
      <c r="Q23" s="159" t="str">
        <f t="shared" si="2"/>
        <v/>
      </c>
    </row>
    <row r="24" spans="1:17" ht="18" customHeight="1">
      <c r="A24" s="123">
        <f>IF(OR($C$6="",$I$6="",$L$6=""),"",IF(B24="","",SUBTOTAL(3,$B$11:B24)))</f>
        <v>14</v>
      </c>
      <c r="B24" s="151" t="str">
        <f>IF(OR($C$6="",$I$6="",$L$6=""),"",IF(HKI!$B24="","",HKI!$B24))</f>
        <v>13D301Đ024</v>
      </c>
      <c r="C24" s="26" t="str">
        <f>IF(OR($C$6="",$I$6="",$L$6=""),"",IF(HKI!$C24="","",HKI!$C24))</f>
        <v xml:space="preserve">Trương Công </v>
      </c>
      <c r="D24" s="152" t="str">
        <f>IF(OR($C$6="",$I$6="",$L$6=""),"",IF(HKI!$D24="","",HKI!$D24))</f>
        <v>Duẩn</v>
      </c>
      <c r="E24" s="461"/>
      <c r="F24" s="462">
        <v>5</v>
      </c>
      <c r="G24" s="462">
        <v>6</v>
      </c>
      <c r="H24" s="462">
        <v>6</v>
      </c>
      <c r="I24" s="462">
        <v>9</v>
      </c>
      <c r="J24" s="462"/>
      <c r="K24" s="462"/>
      <c r="L24" s="462">
        <v>6</v>
      </c>
      <c r="M24" s="462">
        <v>2.8</v>
      </c>
      <c r="N24" s="175">
        <f t="shared" si="1"/>
        <v>4.5</v>
      </c>
      <c r="O24" s="173" t="str">
        <f t="shared" si="0"/>
        <v>TB Yếu</v>
      </c>
      <c r="P24" s="159" t="str">
        <f>IF(OR($B24="",$C$6&lt;&gt;HKI!$X$6,HKI!$Z24=""),"",HKI!$Z24)</f>
        <v/>
      </c>
      <c r="Q24" s="159" t="str">
        <f t="shared" si="2"/>
        <v/>
      </c>
    </row>
    <row r="25" spans="1:17" ht="18" customHeight="1">
      <c r="A25" s="123">
        <f>IF(OR($C$6="",$I$6="",$L$6=""),"",IF(B25="","",SUBTOTAL(3,$B$11:B25)))</f>
        <v>15</v>
      </c>
      <c r="B25" s="151" t="str">
        <f>IF(OR($C$6="",$I$6="",$L$6=""),"",IF(HKI!$B25="","",HKI!$B25))</f>
        <v>13D301Đ191</v>
      </c>
      <c r="C25" s="26" t="str">
        <f>IF(OR($C$6="",$I$6="",$L$6=""),"",IF(HKI!$C25="","",HKI!$C25))</f>
        <v>Nguyễn Hiền</v>
      </c>
      <c r="D25" s="152" t="str">
        <f>IF(OR($C$6="",$I$6="",$L$6=""),"",IF(HKI!$D25="","",HKI!$D25))</f>
        <v>Đức</v>
      </c>
      <c r="E25" s="461"/>
      <c r="F25" s="462">
        <v>5</v>
      </c>
      <c r="G25" s="462">
        <v>6</v>
      </c>
      <c r="H25" s="462">
        <v>6</v>
      </c>
      <c r="I25" s="462">
        <v>5</v>
      </c>
      <c r="J25" s="462"/>
      <c r="K25" s="462"/>
      <c r="L25" s="462">
        <v>6</v>
      </c>
      <c r="M25" s="462">
        <v>4</v>
      </c>
      <c r="N25" s="175">
        <f t="shared" si="1"/>
        <v>4.9000000000000004</v>
      </c>
      <c r="O25" s="173" t="str">
        <f t="shared" si="0"/>
        <v>TB Yếu</v>
      </c>
      <c r="P25" s="159" t="str">
        <f>IF(OR($B25="",$C$6&lt;&gt;HKI!$X$6,HKI!$Z25=""),"",HKI!$Z25)</f>
        <v/>
      </c>
      <c r="Q25" s="159" t="str">
        <f t="shared" si="2"/>
        <v/>
      </c>
    </row>
    <row r="26" spans="1:17" ht="18" customHeight="1">
      <c r="A26" s="123">
        <f>IF(OR($C$6="",$I$6="",$L$6=""),"",IF(B26="","",SUBTOTAL(3,$B$11:B26)))</f>
        <v>16</v>
      </c>
      <c r="B26" s="151" t="str">
        <f>IF(OR($C$6="",$I$6="",$L$6=""),"",IF(HKI!$B26="","",HKI!$B26))</f>
        <v>13D301Đ040</v>
      </c>
      <c r="C26" s="26" t="str">
        <f>IF(OR($C$6="",$I$6="",$L$6=""),"",IF(HKI!$C26="","",HKI!$C26))</f>
        <v>Nguyễn Văn</v>
      </c>
      <c r="D26" s="152" t="str">
        <f>IF(OR($C$6="",$I$6="",$L$6=""),"",IF(HKI!$D26="","",HKI!$D26))</f>
        <v>Đức</v>
      </c>
      <c r="E26" s="461"/>
      <c r="F26" s="462">
        <v>5</v>
      </c>
      <c r="G26" s="462">
        <v>6</v>
      </c>
      <c r="H26" s="462">
        <v>7</v>
      </c>
      <c r="I26" s="462">
        <v>5</v>
      </c>
      <c r="J26" s="462"/>
      <c r="K26" s="462"/>
      <c r="L26" s="462">
        <v>6</v>
      </c>
      <c r="M26" s="462">
        <v>4.5</v>
      </c>
      <c r="N26" s="175">
        <f t="shared" si="1"/>
        <v>5.2</v>
      </c>
      <c r="O26" s="173" t="str">
        <f t="shared" si="0"/>
        <v>TB Yếu</v>
      </c>
      <c r="P26" s="159" t="str">
        <f>IF(OR($B26="",$C$6&lt;&gt;HKI!$X$6,HKI!$Z26=""),"",HKI!$Z26)</f>
        <v/>
      </c>
      <c r="Q26" s="159" t="str">
        <f t="shared" si="2"/>
        <v/>
      </c>
    </row>
    <row r="27" spans="1:17" ht="18" customHeight="1">
      <c r="A27" s="123">
        <f>IF(OR($C$6="",$I$6="",$L$6=""),"",IF(B27="","",SUBTOTAL(3,$B$11:B27)))</f>
        <v>17</v>
      </c>
      <c r="B27" s="151" t="str">
        <f>IF(OR($C$6="",$I$6="",$L$6=""),"",IF(HKI!$B27="","",HKI!$B27))</f>
        <v>13D301Đ025</v>
      </c>
      <c r="C27" s="26" t="str">
        <f>IF(OR($C$6="",$I$6="",$L$6=""),"",IF(HKI!$C27="","",HKI!$C27))</f>
        <v>Nguyễn Ngọc</v>
      </c>
      <c r="D27" s="152" t="str">
        <f>IF(OR($C$6="",$I$6="",$L$6=""),"",IF(HKI!$D27="","",HKI!$D27))</f>
        <v>Dũng</v>
      </c>
      <c r="E27" s="461"/>
      <c r="F27" s="462">
        <v>4</v>
      </c>
      <c r="G27" s="462">
        <v>3</v>
      </c>
      <c r="H27" s="462">
        <v>4</v>
      </c>
      <c r="I27" s="462">
        <v>5</v>
      </c>
      <c r="J27" s="462"/>
      <c r="K27" s="462"/>
      <c r="L27" s="462">
        <v>4</v>
      </c>
      <c r="M27" s="462">
        <v>2.5</v>
      </c>
      <c r="N27" s="175">
        <f t="shared" si="1"/>
        <v>3.3</v>
      </c>
      <c r="O27" s="173" t="str">
        <f t="shared" si="0"/>
        <v>Kém</v>
      </c>
      <c r="P27" s="159" t="str">
        <f>IF(OR($B27="",$C$6&lt;&gt;HKI!$X$6,HKI!$Z27=""),"",HKI!$Z27)</f>
        <v/>
      </c>
      <c r="Q27" s="159" t="str">
        <f t="shared" si="2"/>
        <v/>
      </c>
    </row>
    <row r="28" spans="1:17" ht="18" customHeight="1">
      <c r="A28" s="123">
        <f>IF(OR($C$6="",$I$6="",$L$6=""),"",IF(B28="","",SUBTOTAL(3,$B$11:B28)))</f>
        <v>18</v>
      </c>
      <c r="B28" s="151" t="str">
        <f>IF(OR($C$6="",$I$6="",$L$6=""),"",IF(HKI!$B28="","",HKI!$B28))</f>
        <v>13D301Đ192</v>
      </c>
      <c r="C28" s="26" t="str">
        <f>IF(OR($C$6="",$I$6="",$L$6=""),"",IF(HKI!$C28="","",HKI!$C28))</f>
        <v>Cao Trùng</v>
      </c>
      <c r="D28" s="152" t="str">
        <f>IF(OR($C$6="",$I$6="",$L$6=""),"",IF(HKI!$D28="","",HKI!$D28))</f>
        <v>Dương</v>
      </c>
      <c r="E28" s="461"/>
      <c r="F28" s="462">
        <v>7</v>
      </c>
      <c r="G28" s="462">
        <v>8</v>
      </c>
      <c r="H28" s="462">
        <v>6</v>
      </c>
      <c r="I28" s="462">
        <v>7</v>
      </c>
      <c r="J28" s="462"/>
      <c r="K28" s="462"/>
      <c r="L28" s="462">
        <v>7</v>
      </c>
      <c r="M28" s="462">
        <v>4.3</v>
      </c>
      <c r="N28" s="175">
        <f t="shared" si="1"/>
        <v>5.7</v>
      </c>
      <c r="O28" s="173" t="str">
        <f t="shared" si="0"/>
        <v>T.Bình</v>
      </c>
      <c r="P28" s="159" t="str">
        <f>IF(OR($B28="",$C$6&lt;&gt;HKI!$X$6,HKI!$Z28=""),"",HKI!$Z28)</f>
        <v/>
      </c>
      <c r="Q28" s="159" t="str">
        <f t="shared" si="2"/>
        <v/>
      </c>
    </row>
    <row r="29" spans="1:17" ht="18" customHeight="1">
      <c r="A29" s="123">
        <f>IF(OR($C$6="",$I$6="",$L$6=""),"",IF(B29="","",SUBTOTAL(3,$B$11:B29)))</f>
        <v>19</v>
      </c>
      <c r="B29" s="151" t="str">
        <f>IF(OR($C$6="",$I$6="",$L$6=""),"",IF(HKI!$B29="","",HKI!$B29))</f>
        <v>13D301Đ028</v>
      </c>
      <c r="C29" s="26" t="str">
        <f>IF(OR($C$6="",$I$6="",$L$6=""),"",IF(HKI!$C29="","",HKI!$C29))</f>
        <v>Hoàng Văn</v>
      </c>
      <c r="D29" s="152" t="str">
        <f>IF(OR($C$6="",$I$6="",$L$6=""),"",IF(HKI!$D29="","",HKI!$D29))</f>
        <v>Duy</v>
      </c>
      <c r="E29" s="461"/>
      <c r="F29" s="462">
        <v>4</v>
      </c>
      <c r="G29" s="462">
        <v>5</v>
      </c>
      <c r="H29" s="462">
        <v>5</v>
      </c>
      <c r="I29" s="462">
        <v>5</v>
      </c>
      <c r="J29" s="462"/>
      <c r="K29" s="462"/>
      <c r="L29" s="462">
        <v>5</v>
      </c>
      <c r="M29" s="462">
        <v>3.5</v>
      </c>
      <c r="N29" s="175">
        <f t="shared" si="1"/>
        <v>4.2</v>
      </c>
      <c r="O29" s="173" t="str">
        <f t="shared" si="0"/>
        <v>TB Yếu</v>
      </c>
      <c r="P29" s="159" t="str">
        <f>IF(OR($B29="",$C$6&lt;&gt;HKI!$X$6,HKI!$Z29=""),"",HKI!$Z29)</f>
        <v/>
      </c>
      <c r="Q29" s="159" t="str">
        <f t="shared" si="2"/>
        <v/>
      </c>
    </row>
    <row r="30" spans="1:17" ht="18" customHeight="1">
      <c r="A30" s="123">
        <f>IF(OR($C$6="",$I$6="",$L$6=""),"",IF(B30="","",SUBTOTAL(3,$B$11:B30)))</f>
        <v>20</v>
      </c>
      <c r="B30" s="151" t="str">
        <f>IF(OR($C$6="",$I$6="",$L$6=""),"",IF(HKI!$B30="","",HKI!$B30))</f>
        <v>13D301Đ181</v>
      </c>
      <c r="C30" s="26" t="str">
        <f>IF(OR($C$6="",$I$6="",$L$6=""),"",IF(HKI!$C30="","",HKI!$C30))</f>
        <v>Lâm Văn</v>
      </c>
      <c r="D30" s="152" t="str">
        <f>IF(OR($C$6="",$I$6="",$L$6=""),"",IF(HKI!$D30="","",HKI!$D30))</f>
        <v>Duy</v>
      </c>
      <c r="E30" s="461"/>
      <c r="F30" s="462">
        <v>3</v>
      </c>
      <c r="G30" s="462">
        <v>4</v>
      </c>
      <c r="H30" s="462">
        <v>4</v>
      </c>
      <c r="I30" s="462">
        <v>5</v>
      </c>
      <c r="J30" s="462"/>
      <c r="K30" s="462"/>
      <c r="L30" s="462">
        <v>4</v>
      </c>
      <c r="M30" s="462">
        <v>2.8</v>
      </c>
      <c r="N30" s="175">
        <f t="shared" si="1"/>
        <v>3.4</v>
      </c>
      <c r="O30" s="173" t="str">
        <f t="shared" si="0"/>
        <v>Kém</v>
      </c>
      <c r="P30" s="159" t="str">
        <f>IF(OR($B30="",$C$6&lt;&gt;HKI!$X$6,HKI!$Z30=""),"",HKI!$Z30)</f>
        <v/>
      </c>
      <c r="Q30" s="159" t="str">
        <f t="shared" si="2"/>
        <v/>
      </c>
    </row>
    <row r="31" spans="1:17" ht="18" customHeight="1">
      <c r="A31" s="123">
        <f>IF(OR($C$6="",$I$6="",$L$6=""),"",IF(B31="","",SUBTOTAL(3,$B$11:B31)))</f>
        <v>21</v>
      </c>
      <c r="B31" s="151" t="str">
        <f>IF(OR($C$6="",$I$6="",$L$6=""),"",IF(HKI!$B31="","",HKI!$B31))</f>
        <v>13D301Đ041</v>
      </c>
      <c r="C31" s="26" t="str">
        <f>IF(OR($C$6="",$I$6="",$L$6=""),"",IF(HKI!$C31="","",HKI!$C31))</f>
        <v>Lê Hoàng</v>
      </c>
      <c r="D31" s="152" t="str">
        <f>IF(OR($C$6="",$I$6="",$L$6=""),"",IF(HKI!$D31="","",HKI!$D31))</f>
        <v>Giang</v>
      </c>
      <c r="E31" s="461"/>
      <c r="F31" s="462">
        <v>3</v>
      </c>
      <c r="G31" s="462">
        <v>4</v>
      </c>
      <c r="H31" s="462">
        <v>4</v>
      </c>
      <c r="I31" s="462">
        <v>5</v>
      </c>
      <c r="J31" s="462"/>
      <c r="K31" s="462"/>
      <c r="L31" s="462">
        <v>4</v>
      </c>
      <c r="M31" s="462">
        <v>2.2999999999999998</v>
      </c>
      <c r="N31" s="175">
        <f t="shared" si="1"/>
        <v>3.2</v>
      </c>
      <c r="O31" s="173" t="str">
        <f t="shared" si="0"/>
        <v>Kém</v>
      </c>
      <c r="P31" s="159" t="str">
        <f>IF(OR($B31="",$C$6&lt;&gt;HKI!$X$6,HKI!$Z31=""),"",HKI!$Z31)</f>
        <v/>
      </c>
      <c r="Q31" s="159" t="str">
        <f t="shared" si="2"/>
        <v/>
      </c>
    </row>
    <row r="32" spans="1:17" ht="18" customHeight="1">
      <c r="A32" s="123">
        <f>IF(OR($C$6="",$I$6="",$L$6=""),"",IF(B32="","",SUBTOTAL(3,$B$11:B32)))</f>
        <v>22</v>
      </c>
      <c r="B32" s="151" t="str">
        <f>IF(OR($C$6="",$I$6="",$L$6=""),"",IF(HKI!$B32="","",HKI!$B32))</f>
        <v>13D301Đ045</v>
      </c>
      <c r="C32" s="26" t="str">
        <f>IF(OR($C$6="",$I$6="",$L$6=""),"",IF(HKI!$C32="","",HKI!$C32))</f>
        <v>Lê Công</v>
      </c>
      <c r="D32" s="152" t="str">
        <f>IF(OR($C$6="",$I$6="",$L$6=""),"",IF(HKI!$D32="","",HKI!$D32))</f>
        <v>Hậu</v>
      </c>
      <c r="E32" s="461"/>
      <c r="F32" s="462">
        <v>5</v>
      </c>
      <c r="G32" s="462">
        <v>6</v>
      </c>
      <c r="H32" s="462">
        <v>7</v>
      </c>
      <c r="I32" s="462">
        <v>5</v>
      </c>
      <c r="J32" s="462"/>
      <c r="K32" s="462"/>
      <c r="L32" s="462">
        <v>8</v>
      </c>
      <c r="M32" s="462">
        <v>5</v>
      </c>
      <c r="N32" s="175">
        <f t="shared" si="1"/>
        <v>6.1</v>
      </c>
      <c r="O32" s="173" t="str">
        <f t="shared" si="0"/>
        <v>T.Bình</v>
      </c>
      <c r="P32" s="159" t="str">
        <f>IF(OR($B32="",$C$6&lt;&gt;HKI!$X$6,HKI!$Z32=""),"",HKI!$Z32)</f>
        <v/>
      </c>
      <c r="Q32" s="159" t="str">
        <f t="shared" si="2"/>
        <v/>
      </c>
    </row>
    <row r="33" spans="1:17" ht="18" customHeight="1">
      <c r="A33" s="123">
        <f>IF(OR($C$6="",$I$6="",$L$6=""),"",IF(B33="","",SUBTOTAL(3,$B$11:B33)))</f>
        <v>23</v>
      </c>
      <c r="B33" s="151" t="str">
        <f>IF(OR($C$6="",$I$6="",$L$6=""),"",IF(HKI!$B33="","",HKI!$B33))</f>
        <v>13D301Đ048</v>
      </c>
      <c r="C33" s="26" t="str">
        <f>IF(OR($C$6="",$I$6="",$L$6=""),"",IF(HKI!$C33="","",HKI!$C33))</f>
        <v>Hồ Văn</v>
      </c>
      <c r="D33" s="152" t="str">
        <f>IF(OR($C$6="",$I$6="",$L$6=""),"",IF(HKI!$D33="","",HKI!$D33))</f>
        <v>Hiệp</v>
      </c>
      <c r="E33" s="461"/>
      <c r="F33" s="462">
        <v>4</v>
      </c>
      <c r="G33" s="462">
        <v>7</v>
      </c>
      <c r="H33" s="462">
        <v>7</v>
      </c>
      <c r="I33" s="462">
        <v>5</v>
      </c>
      <c r="J33" s="462"/>
      <c r="K33" s="462"/>
      <c r="L33" s="462">
        <v>8</v>
      </c>
      <c r="M33" s="462">
        <v>4.8</v>
      </c>
      <c r="N33" s="175">
        <f t="shared" si="1"/>
        <v>6</v>
      </c>
      <c r="O33" s="173" t="str">
        <f t="shared" si="0"/>
        <v>T.Bình</v>
      </c>
      <c r="P33" s="159" t="str">
        <f>IF(OR($B33="",$C$6&lt;&gt;HKI!$X$6,HKI!$Z33=""),"",HKI!$Z33)</f>
        <v/>
      </c>
      <c r="Q33" s="159" t="str">
        <f t="shared" si="2"/>
        <v/>
      </c>
    </row>
    <row r="34" spans="1:17" ht="18" customHeight="1">
      <c r="A34" s="123">
        <f>IF(OR($C$6="",$I$6="",$L$6=""),"",IF(B34="","",SUBTOTAL(3,$B$11:B34)))</f>
        <v>24</v>
      </c>
      <c r="B34" s="151" t="str">
        <f>IF(OR($C$6="",$I$6="",$L$6=""),"",IF(HKI!$B34="","",HKI!$B34))</f>
        <v>13D301Đ049</v>
      </c>
      <c r="C34" s="26" t="str">
        <f>IF(OR($C$6="",$I$6="",$L$6=""),"",IF(HKI!$C34="","",HKI!$C34))</f>
        <v>Lê Minh</v>
      </c>
      <c r="D34" s="152" t="str">
        <f>IF(OR($C$6="",$I$6="",$L$6=""),"",IF(HKI!$D34="","",HKI!$D34))</f>
        <v>Hiếu</v>
      </c>
      <c r="E34" s="461"/>
      <c r="F34" s="462">
        <v>6</v>
      </c>
      <c r="G34" s="462">
        <v>7</v>
      </c>
      <c r="H34" s="462">
        <v>7</v>
      </c>
      <c r="I34" s="462">
        <v>5</v>
      </c>
      <c r="J34" s="462"/>
      <c r="K34" s="462"/>
      <c r="L34" s="462">
        <v>5</v>
      </c>
      <c r="M34" s="462">
        <v>3.8</v>
      </c>
      <c r="N34" s="175">
        <f t="shared" si="1"/>
        <v>4.7</v>
      </c>
      <c r="O34" s="173" t="str">
        <f t="shared" si="0"/>
        <v>TB Yếu</v>
      </c>
      <c r="P34" s="159" t="str">
        <f>IF(OR($B34="",$C$6&lt;&gt;HKI!$X$6,HKI!$Z34=""),"",HKI!$Z34)</f>
        <v/>
      </c>
      <c r="Q34" s="159" t="str">
        <f t="shared" si="2"/>
        <v/>
      </c>
    </row>
    <row r="35" spans="1:17" ht="18" customHeight="1">
      <c r="A35" s="123">
        <f>IF(OR($C$6="",$I$6="",$L$6=""),"",IF(B35="","",SUBTOTAL(3,$B$11:B35)))</f>
        <v>25</v>
      </c>
      <c r="B35" s="151" t="str">
        <f>IF(OR($C$6="",$I$6="",$L$6=""),"",IF(HKI!$B35="","",HKI!$B35))</f>
        <v>13D301Đ053</v>
      </c>
      <c r="C35" s="26" t="str">
        <f>IF(OR($C$6="",$I$6="",$L$6=""),"",IF(HKI!$C35="","",HKI!$C35))</f>
        <v>Nguyễn Ngọc</v>
      </c>
      <c r="D35" s="152" t="str">
        <f>IF(OR($C$6="",$I$6="",$L$6=""),"",IF(HKI!$D35="","",HKI!$D35))</f>
        <v>Hoài</v>
      </c>
      <c r="E35" s="461"/>
      <c r="F35" s="462">
        <v>5</v>
      </c>
      <c r="G35" s="462">
        <v>6</v>
      </c>
      <c r="H35" s="462">
        <v>7</v>
      </c>
      <c r="I35" s="462">
        <v>6</v>
      </c>
      <c r="J35" s="462"/>
      <c r="K35" s="462"/>
      <c r="L35" s="462">
        <v>8</v>
      </c>
      <c r="M35" s="462">
        <v>5</v>
      </c>
      <c r="N35" s="175">
        <f t="shared" si="1"/>
        <v>6.1</v>
      </c>
      <c r="O35" s="173" t="str">
        <f t="shared" si="0"/>
        <v>T.Bình</v>
      </c>
      <c r="P35" s="159" t="str">
        <f>IF(OR($B35="",$C$6&lt;&gt;HKI!$X$6,HKI!$Z35=""),"",HKI!$Z35)</f>
        <v/>
      </c>
      <c r="Q35" s="159" t="str">
        <f t="shared" si="2"/>
        <v/>
      </c>
    </row>
    <row r="36" spans="1:17" ht="18" customHeight="1">
      <c r="A36" s="123">
        <f>IF(OR($C$6="",$I$6="",$L$6=""),"",IF(B36="","",SUBTOTAL(3,$B$11:B36)))</f>
        <v>26</v>
      </c>
      <c r="B36" s="151" t="str">
        <f>IF(OR($C$6="",$I$6="",$L$6=""),"",IF(HKI!$B36="","",HKI!$B36))</f>
        <v>13D301Đ056</v>
      </c>
      <c r="C36" s="26" t="str">
        <f>IF(OR($C$6="",$I$6="",$L$6=""),"",IF(HKI!$C36="","",HKI!$C36))</f>
        <v>Trần Huy</v>
      </c>
      <c r="D36" s="152" t="str">
        <f>IF(OR($C$6="",$I$6="",$L$6=""),"",IF(HKI!$D36="","",HKI!$D36))</f>
        <v>Hoàng</v>
      </c>
      <c r="E36" s="461"/>
      <c r="F36" s="462">
        <v>5</v>
      </c>
      <c r="G36" s="462">
        <v>5</v>
      </c>
      <c r="H36" s="462">
        <v>5</v>
      </c>
      <c r="I36" s="462">
        <v>5</v>
      </c>
      <c r="J36" s="462"/>
      <c r="K36" s="462"/>
      <c r="L36" s="462">
        <v>4</v>
      </c>
      <c r="M36" s="462">
        <v>2.5</v>
      </c>
      <c r="N36" s="175">
        <f t="shared" si="1"/>
        <v>3.5</v>
      </c>
      <c r="O36" s="173" t="str">
        <f t="shared" si="0"/>
        <v>Kém</v>
      </c>
      <c r="P36" s="159" t="str">
        <f>IF(OR($B36="",$C$6&lt;&gt;HKI!$X$6,HKI!$Z36=""),"",HKI!$Z36)</f>
        <v/>
      </c>
      <c r="Q36" s="159" t="str">
        <f t="shared" si="2"/>
        <v/>
      </c>
    </row>
    <row r="37" spans="1:17" ht="18" customHeight="1">
      <c r="A37" s="123">
        <f>IF(OR($C$6="",$I$6="",$L$6=""),"",IF(B37="","",SUBTOTAL(3,$B$11:B37)))</f>
        <v>27</v>
      </c>
      <c r="B37" s="151" t="str">
        <f>IF(OR($C$6="",$I$6="",$L$6=""),"",IF(HKI!$B37="","",HKI!$B37))</f>
        <v>13D301Đ057</v>
      </c>
      <c r="C37" s="26" t="str">
        <f>IF(OR($C$6="",$I$6="",$L$6=""),"",IF(HKI!$C37="","",HKI!$C37))</f>
        <v>Trịnh Thanh</v>
      </c>
      <c r="D37" s="152" t="str">
        <f>IF(OR($C$6="",$I$6="",$L$6=""),"",IF(HKI!$D37="","",HKI!$D37))</f>
        <v>Hoàng</v>
      </c>
      <c r="E37" s="461"/>
      <c r="F37" s="462">
        <v>5</v>
      </c>
      <c r="G37" s="462">
        <v>6</v>
      </c>
      <c r="H37" s="462">
        <v>5</v>
      </c>
      <c r="I37" s="462">
        <v>5</v>
      </c>
      <c r="J37" s="462"/>
      <c r="K37" s="462"/>
      <c r="L37" s="462">
        <v>6</v>
      </c>
      <c r="M37" s="462">
        <v>3.8</v>
      </c>
      <c r="N37" s="175">
        <f t="shared" si="1"/>
        <v>4.8</v>
      </c>
      <c r="O37" s="173" t="str">
        <f t="shared" si="0"/>
        <v>TB Yếu</v>
      </c>
      <c r="P37" s="159" t="str">
        <f>IF(OR($B37="",$C$6&lt;&gt;HKI!$X$6,HKI!$Z37=""),"",HKI!$Z37)</f>
        <v/>
      </c>
      <c r="Q37" s="159" t="str">
        <f t="shared" si="2"/>
        <v/>
      </c>
    </row>
    <row r="38" spans="1:17" ht="18" customHeight="1">
      <c r="A38" s="123">
        <f>IF(OR($C$6="",$I$6="",$L$6=""),"",IF(B38="","",SUBTOTAL(3,$B$11:B38)))</f>
        <v>28</v>
      </c>
      <c r="B38" s="151" t="str">
        <f>IF(OR($C$6="",$I$6="",$L$6=""),"",IF(HKI!$B38="","",HKI!$B38))</f>
        <v>13D301Đ201</v>
      </c>
      <c r="C38" s="26" t="str">
        <f>IF(OR($C$6="",$I$6="",$L$6=""),"",IF(HKI!$C38="","",HKI!$C38))</f>
        <v>Nguyễn Quang</v>
      </c>
      <c r="D38" s="152" t="str">
        <f>IF(OR($C$6="",$I$6="",$L$6=""),"",IF(HKI!$D38="","",HKI!$D38))</f>
        <v>Huân</v>
      </c>
      <c r="E38" s="461"/>
      <c r="F38" s="462">
        <v>0</v>
      </c>
      <c r="G38" s="462">
        <v>0</v>
      </c>
      <c r="H38" s="462">
        <v>0</v>
      </c>
      <c r="I38" s="462">
        <v>0</v>
      </c>
      <c r="J38" s="462"/>
      <c r="K38" s="462"/>
      <c r="L38" s="462">
        <v>0</v>
      </c>
      <c r="M38" s="466">
        <v>0</v>
      </c>
      <c r="N38" s="175">
        <f t="shared" si="1"/>
        <v>0</v>
      </c>
      <c r="O38" s="173" t="str">
        <f t="shared" si="0"/>
        <v>Kém</v>
      </c>
      <c r="P38" s="159" t="str">
        <f>IF(OR($B38="",$C$6&lt;&gt;HKI!$X$6,HKI!$Z38=""),"",HKI!$Z38)</f>
        <v/>
      </c>
      <c r="Q38" s="159" t="str">
        <f t="shared" si="2"/>
        <v/>
      </c>
    </row>
    <row r="39" spans="1:17" ht="18" customHeight="1">
      <c r="A39" s="123">
        <f>IF(OR($C$6="",$I$6="",$L$6=""),"",IF(B39="","",SUBTOTAL(3,$B$11:B39)))</f>
        <v>29</v>
      </c>
      <c r="B39" s="151" t="str">
        <f>IF(OR($C$6="",$I$6="",$L$6=""),"",IF(HKI!$B39="","",HKI!$B39))</f>
        <v>13D301Đ061</v>
      </c>
      <c r="C39" s="26" t="str">
        <f>IF(OR($C$6="",$I$6="",$L$6=""),"",IF(HKI!$C39="","",HKI!$C39))</f>
        <v>Huỳnh Thanh</v>
      </c>
      <c r="D39" s="152" t="str">
        <f>IF(OR($C$6="",$I$6="",$L$6=""),"",IF(HKI!$D39="","",HKI!$D39))</f>
        <v>Hùng</v>
      </c>
      <c r="E39" s="461"/>
      <c r="F39" s="462">
        <v>4</v>
      </c>
      <c r="G39" s="462">
        <v>3</v>
      </c>
      <c r="H39" s="462">
        <v>3</v>
      </c>
      <c r="I39" s="462">
        <v>5</v>
      </c>
      <c r="J39" s="462"/>
      <c r="K39" s="462"/>
      <c r="L39" s="462">
        <v>4</v>
      </c>
      <c r="M39" s="462">
        <v>1.8</v>
      </c>
      <c r="N39" s="175">
        <f t="shared" si="1"/>
        <v>2.9</v>
      </c>
      <c r="O39" s="173" t="str">
        <f t="shared" si="0"/>
        <v>Kém</v>
      </c>
      <c r="P39" s="159" t="str">
        <f>IF(OR($B39="",$C$6&lt;&gt;HKI!$X$6,HKI!$Z39=""),"",HKI!$Z39)</f>
        <v/>
      </c>
      <c r="Q39" s="159" t="str">
        <f t="shared" si="2"/>
        <v/>
      </c>
    </row>
    <row r="40" spans="1:17" ht="18" customHeight="1">
      <c r="A40" s="123">
        <f>IF(OR($C$6="",$I$6="",$L$6=""),"",IF(B40="","",SUBTOTAL(3,$B$11:B40)))</f>
        <v>30</v>
      </c>
      <c r="B40" s="151" t="str">
        <f>IF(OR($C$6="",$I$6="",$L$6=""),"",IF(HKI!$B40="","",HKI!$B40))</f>
        <v>13D301Đ065</v>
      </c>
      <c r="C40" s="26" t="str">
        <f>IF(OR($C$6="",$I$6="",$L$6=""),"",IF(HKI!$C40="","",HKI!$C40))</f>
        <v>Đoàn Lê Xuân</v>
      </c>
      <c r="D40" s="152" t="str">
        <f>IF(OR($C$6="",$I$6="",$L$6=""),"",IF(HKI!$D40="","",HKI!$D40))</f>
        <v>Huy</v>
      </c>
      <c r="E40" s="461"/>
      <c r="F40" s="462">
        <v>4</v>
      </c>
      <c r="G40" s="462">
        <v>5</v>
      </c>
      <c r="H40" s="462">
        <v>5</v>
      </c>
      <c r="I40" s="462">
        <v>5</v>
      </c>
      <c r="J40" s="462"/>
      <c r="K40" s="462"/>
      <c r="L40" s="462">
        <v>5</v>
      </c>
      <c r="M40" s="462">
        <v>3.3</v>
      </c>
      <c r="N40" s="175">
        <f t="shared" si="1"/>
        <v>4.0999999999999996</v>
      </c>
      <c r="O40" s="173" t="str">
        <f t="shared" si="0"/>
        <v>TB Yếu</v>
      </c>
      <c r="P40" s="159" t="str">
        <f>IF(OR($B40="",$C$6&lt;&gt;HKI!$X$6,HKI!$Z40=""),"",HKI!$Z40)</f>
        <v/>
      </c>
      <c r="Q40" s="159" t="str">
        <f t="shared" si="2"/>
        <v/>
      </c>
    </row>
    <row r="41" spans="1:17" ht="18" customHeight="1">
      <c r="A41" s="123">
        <f>IF(OR($C$6="",$I$6="",$L$6=""),"",IF(B41="","",SUBTOTAL(3,$B$11:B41)))</f>
        <v>31</v>
      </c>
      <c r="B41" s="151" t="str">
        <f>IF(OR($C$6="",$I$6="",$L$6=""),"",IF(HKI!$B41="","",HKI!$B41))</f>
        <v>13D301Đ073</v>
      </c>
      <c r="C41" s="26" t="str">
        <f>IF(OR($C$6="",$I$6="",$L$6=""),"",IF(HKI!$C41="","",HKI!$C41))</f>
        <v>Trịnh Đại</v>
      </c>
      <c r="D41" s="152" t="str">
        <f>IF(OR($C$6="",$I$6="",$L$6=""),"",IF(HKI!$D41="","",HKI!$D41))</f>
        <v>Lăng</v>
      </c>
      <c r="E41" s="461"/>
      <c r="F41" s="462">
        <v>4</v>
      </c>
      <c r="G41" s="462">
        <v>4</v>
      </c>
      <c r="H41" s="462">
        <v>4</v>
      </c>
      <c r="I41" s="462">
        <v>5</v>
      </c>
      <c r="J41" s="462"/>
      <c r="K41" s="462"/>
      <c r="L41" s="462">
        <v>4</v>
      </c>
      <c r="M41" s="462">
        <v>2.5</v>
      </c>
      <c r="N41" s="175">
        <f t="shared" si="1"/>
        <v>3.3</v>
      </c>
      <c r="O41" s="173" t="str">
        <f t="shared" si="0"/>
        <v>Kém</v>
      </c>
      <c r="P41" s="159" t="str">
        <f>IF(OR($B41="",$C$6&lt;&gt;HKI!$X$6,HKI!$Z41=""),"",HKI!$Z41)</f>
        <v/>
      </c>
      <c r="Q41" s="159" t="str">
        <f t="shared" si="2"/>
        <v/>
      </c>
    </row>
    <row r="42" spans="1:17" ht="18" customHeight="1">
      <c r="A42" s="123">
        <f>IF(OR($C$6="",$I$6="",$L$6=""),"",IF(B42="","",SUBTOTAL(3,$B$11:B42)))</f>
        <v>32</v>
      </c>
      <c r="B42" s="151" t="str">
        <f>IF(OR($C$6="",$I$6="",$L$6=""),"",IF(HKI!$B42="","",HKI!$B42))</f>
        <v>13D301Đ204</v>
      </c>
      <c r="C42" s="26" t="str">
        <f>IF(OR($C$6="",$I$6="",$L$6=""),"",IF(HKI!$C42="","",HKI!$C42))</f>
        <v>Nguyễn Khánh</v>
      </c>
      <c r="D42" s="152" t="str">
        <f>IF(OR($C$6="",$I$6="",$L$6=""),"",IF(HKI!$D42="","",HKI!$D42))</f>
        <v>Linh</v>
      </c>
      <c r="E42" s="461"/>
      <c r="F42" s="462">
        <v>4</v>
      </c>
      <c r="G42" s="462">
        <v>4</v>
      </c>
      <c r="H42" s="462">
        <v>4</v>
      </c>
      <c r="I42" s="462">
        <v>5</v>
      </c>
      <c r="J42" s="462"/>
      <c r="K42" s="462"/>
      <c r="L42" s="462">
        <v>4</v>
      </c>
      <c r="M42" s="462">
        <v>2.5</v>
      </c>
      <c r="N42" s="175">
        <f t="shared" si="1"/>
        <v>3.3</v>
      </c>
      <c r="O42" s="173" t="str">
        <f t="shared" si="0"/>
        <v>Kém</v>
      </c>
      <c r="P42" s="159" t="str">
        <f>IF(OR($B42="",$C$6&lt;&gt;HKI!$X$6,HKI!$Z42=""),"",HKI!$Z42)</f>
        <v/>
      </c>
      <c r="Q42" s="159" t="str">
        <f t="shared" si="2"/>
        <v/>
      </c>
    </row>
    <row r="43" spans="1:17" ht="18" customHeight="1">
      <c r="A43" s="123">
        <f>IF(OR($C$6="",$I$6="",$L$6=""),"",IF(B43="","",SUBTOTAL(3,$B$11:B43)))</f>
        <v>33</v>
      </c>
      <c r="B43" s="151" t="str">
        <f>IF(OR($C$6="",$I$6="",$L$6=""),"",IF(HKI!$B43="","",HKI!$B43))</f>
        <v>13D301Đ162</v>
      </c>
      <c r="C43" s="26" t="str">
        <f>IF(OR($C$6="",$I$6="",$L$6=""),"",IF(HKI!$C43="","",HKI!$C43))</f>
        <v>Đỗ Văn</v>
      </c>
      <c r="D43" s="152" t="str">
        <f>IF(OR($C$6="",$I$6="",$L$6=""),"",IF(HKI!$D43="","",HKI!$D43))</f>
        <v>Lượng</v>
      </c>
      <c r="E43" s="461"/>
      <c r="F43" s="462">
        <v>3</v>
      </c>
      <c r="G43" s="462">
        <v>4</v>
      </c>
      <c r="H43" s="462">
        <v>5</v>
      </c>
      <c r="I43" s="462">
        <v>5</v>
      </c>
      <c r="J43" s="462"/>
      <c r="K43" s="462"/>
      <c r="L43" s="462">
        <v>4</v>
      </c>
      <c r="M43" s="462">
        <v>2.8</v>
      </c>
      <c r="N43" s="175">
        <f t="shared" si="1"/>
        <v>3.5</v>
      </c>
      <c r="O43" s="173" t="str">
        <f t="shared" si="0"/>
        <v>Kém</v>
      </c>
      <c r="P43" s="159" t="str">
        <f>IF(OR($B43="",$C$6&lt;&gt;HKI!$X$6,HKI!$Z43=""),"",HKI!$Z43)</f>
        <v/>
      </c>
      <c r="Q43" s="159" t="str">
        <f t="shared" si="2"/>
        <v/>
      </c>
    </row>
    <row r="44" spans="1:17" ht="18" customHeight="1">
      <c r="A44" s="123">
        <f>IF(OR($C$6="",$I$6="",$L$6=""),"",IF(B44="","",SUBTOTAL(3,$B$11:B44)))</f>
        <v>34</v>
      </c>
      <c r="B44" s="151" t="str">
        <f>IF(OR($C$6="",$I$6="",$L$6=""),"",IF(HKI!$B44="","",HKI!$B44))</f>
        <v>13D301Đ081</v>
      </c>
      <c r="C44" s="26" t="str">
        <f>IF(OR($C$6="",$I$6="",$L$6=""),"",IF(HKI!$C44="","",HKI!$C44))</f>
        <v>Mai Đình</v>
      </c>
      <c r="D44" s="152" t="str">
        <f>IF(OR($C$6="",$I$6="",$L$6=""),"",IF(HKI!$D44="","",HKI!$D44))</f>
        <v>Luyện</v>
      </c>
      <c r="E44" s="461"/>
      <c r="F44" s="462">
        <v>4</v>
      </c>
      <c r="G44" s="462">
        <v>5</v>
      </c>
      <c r="H44" s="462">
        <v>4</v>
      </c>
      <c r="I44" s="462">
        <v>6</v>
      </c>
      <c r="J44" s="462"/>
      <c r="K44" s="462"/>
      <c r="L44" s="462">
        <v>4</v>
      </c>
      <c r="M44" s="462">
        <v>2.5</v>
      </c>
      <c r="N44" s="175">
        <f t="shared" si="1"/>
        <v>3.4</v>
      </c>
      <c r="O44" s="173" t="str">
        <f t="shared" si="0"/>
        <v>Kém</v>
      </c>
      <c r="P44" s="159" t="str">
        <f>IF(OR($B44="",$C$6&lt;&gt;HKI!$X$6,HKI!$Z44=""),"",HKI!$Z44)</f>
        <v/>
      </c>
      <c r="Q44" s="159" t="str">
        <f t="shared" si="2"/>
        <v/>
      </c>
    </row>
    <row r="45" spans="1:17" ht="18" customHeight="1">
      <c r="A45" s="123">
        <f>IF(OR($C$6="",$I$6="",$L$6=""),"",IF(B45="","",SUBTOTAL(3,$B$11:B45)))</f>
        <v>35</v>
      </c>
      <c r="B45" s="151" t="str">
        <f>IF(OR($C$6="",$I$6="",$L$6=""),"",IF(HKI!$B45="","",HKI!$B45))</f>
        <v>13D301Đ085</v>
      </c>
      <c r="C45" s="26" t="str">
        <f>IF(OR($C$6="",$I$6="",$L$6=""),"",IF(HKI!$C45="","",HKI!$C45))</f>
        <v>Võ Hoài</v>
      </c>
      <c r="D45" s="152" t="str">
        <f>IF(OR($C$6="",$I$6="",$L$6=""),"",IF(HKI!$D45="","",HKI!$D45))</f>
        <v>Nam</v>
      </c>
      <c r="E45" s="461"/>
      <c r="F45" s="462">
        <v>4</v>
      </c>
      <c r="G45" s="462">
        <v>4</v>
      </c>
      <c r="H45" s="462">
        <v>5</v>
      </c>
      <c r="I45" s="462">
        <v>5</v>
      </c>
      <c r="J45" s="462"/>
      <c r="K45" s="462"/>
      <c r="L45" s="462">
        <v>5</v>
      </c>
      <c r="M45" s="462">
        <v>3.5</v>
      </c>
      <c r="N45" s="175">
        <f t="shared" si="1"/>
        <v>4.2</v>
      </c>
      <c r="O45" s="173" t="str">
        <f t="shared" si="0"/>
        <v>TB Yếu</v>
      </c>
      <c r="P45" s="159" t="str">
        <f>IF(OR($B45="",$C$6&lt;&gt;HKI!$X$6,HKI!$Z45=""),"",HKI!$Z45)</f>
        <v/>
      </c>
      <c r="Q45" s="159" t="str">
        <f t="shared" si="2"/>
        <v/>
      </c>
    </row>
    <row r="46" spans="1:17" ht="18" customHeight="1">
      <c r="A46" s="123">
        <f>IF(OR($C$6="",$I$6="",$L$6=""),"",IF(B46="","",SUBTOTAL(3,$B$11:B46)))</f>
        <v>36</v>
      </c>
      <c r="B46" s="151" t="str">
        <f>IF(OR($C$6="",$I$6="",$L$6=""),"",IF(HKI!$B46="","",HKI!$B46))</f>
        <v>13D301Đ089</v>
      </c>
      <c r="C46" s="26" t="str">
        <f>IF(OR($C$6="",$I$6="",$L$6=""),"",IF(HKI!$C46="","",HKI!$C46))</f>
        <v>Nguyễn Hữu</v>
      </c>
      <c r="D46" s="152" t="str">
        <f>IF(OR($C$6="",$I$6="",$L$6=""),"",IF(HKI!$D46="","",HKI!$D46))</f>
        <v>Nghĩa</v>
      </c>
      <c r="E46" s="461"/>
      <c r="F46" s="462">
        <v>4</v>
      </c>
      <c r="G46" s="462">
        <v>5</v>
      </c>
      <c r="H46" s="462">
        <v>5</v>
      </c>
      <c r="I46" s="462">
        <v>5</v>
      </c>
      <c r="J46" s="462"/>
      <c r="K46" s="462"/>
      <c r="L46" s="462">
        <v>4</v>
      </c>
      <c r="M46" s="462">
        <v>2.8</v>
      </c>
      <c r="N46" s="175">
        <f t="shared" si="1"/>
        <v>3.6</v>
      </c>
      <c r="O46" s="173" t="str">
        <f t="shared" si="0"/>
        <v>Kém</v>
      </c>
      <c r="P46" s="159" t="str">
        <f>IF(OR($B46="",$C$6&lt;&gt;HKI!$X$6,HKI!$Z46=""),"",HKI!$Z46)</f>
        <v/>
      </c>
      <c r="Q46" s="159" t="str">
        <f t="shared" si="2"/>
        <v/>
      </c>
    </row>
    <row r="47" spans="1:17" ht="18" customHeight="1">
      <c r="A47" s="123">
        <f>IF(OR($C$6="",$I$6="",$L$6=""),"",IF(B47="","",SUBTOTAL(3,$B$11:B47)))</f>
        <v>37</v>
      </c>
      <c r="B47" s="151" t="str">
        <f>IF(OR($C$6="",$I$6="",$L$6=""),"",IF(HKI!$B47="","",HKI!$B47))</f>
        <v>13D301Đ097</v>
      </c>
      <c r="C47" s="26" t="str">
        <f>IF(OR($C$6="",$I$6="",$L$6=""),"",IF(HKI!$C47="","",HKI!$C47))</f>
        <v>Nguyễn Thành</v>
      </c>
      <c r="D47" s="152" t="str">
        <f>IF(OR($C$6="",$I$6="",$L$6=""),"",IF(HKI!$D47="","",HKI!$D47))</f>
        <v>Phát</v>
      </c>
      <c r="E47" s="461"/>
      <c r="F47" s="462">
        <v>7</v>
      </c>
      <c r="G47" s="462">
        <v>7</v>
      </c>
      <c r="H47" s="462">
        <v>7</v>
      </c>
      <c r="I47" s="462">
        <v>9</v>
      </c>
      <c r="J47" s="462"/>
      <c r="K47" s="462"/>
      <c r="L47" s="462">
        <v>8</v>
      </c>
      <c r="M47" s="462">
        <v>4.5</v>
      </c>
      <c r="N47" s="175">
        <f t="shared" si="1"/>
        <v>6.2</v>
      </c>
      <c r="O47" s="173" t="str">
        <f t="shared" si="0"/>
        <v>T.Bình</v>
      </c>
      <c r="P47" s="159" t="str">
        <f>IF(OR($B47="",$C$6&lt;&gt;HKI!$X$6,HKI!$Z47=""),"",HKI!$Z47)</f>
        <v/>
      </c>
      <c r="Q47" s="159" t="str">
        <f t="shared" si="2"/>
        <v/>
      </c>
    </row>
    <row r="48" spans="1:17" ht="18" customHeight="1">
      <c r="A48" s="123">
        <f>IF(OR($C$6="",$I$6="",$L$6=""),"",IF(B48="","",SUBTOTAL(3,$B$11:B48)))</f>
        <v>38</v>
      </c>
      <c r="B48" s="151" t="str">
        <f>IF(OR($C$6="",$I$6="",$L$6=""),"",IF(HKI!$B48="","",HKI!$B48))</f>
        <v>13D301Đ101</v>
      </c>
      <c r="C48" s="26" t="str">
        <f>IF(OR($C$6="",$I$6="",$L$6=""),"",IF(HKI!$C48="","",HKI!$C48))</f>
        <v>Huỳnh Thanh</v>
      </c>
      <c r="D48" s="152" t="str">
        <f>IF(OR($C$6="",$I$6="",$L$6=""),"",IF(HKI!$D48="","",HKI!$D48))</f>
        <v>Phú</v>
      </c>
      <c r="E48" s="461"/>
      <c r="F48" s="462">
        <v>0</v>
      </c>
      <c r="G48" s="462">
        <v>0</v>
      </c>
      <c r="H48" s="462">
        <v>0</v>
      </c>
      <c r="I48" s="462">
        <v>0</v>
      </c>
      <c r="J48" s="462"/>
      <c r="K48" s="462"/>
      <c r="L48" s="462">
        <v>0</v>
      </c>
      <c r="M48" s="466">
        <v>0</v>
      </c>
      <c r="N48" s="175">
        <f t="shared" si="1"/>
        <v>0</v>
      </c>
      <c r="O48" s="173" t="str">
        <f t="shared" si="0"/>
        <v>Kém</v>
      </c>
      <c r="P48" s="159" t="str">
        <f>IF(OR($B48="",$C$6&lt;&gt;HKI!$X$6,HKI!$Z48=""),"",HKI!$Z48)</f>
        <v/>
      </c>
      <c r="Q48" s="159" t="str">
        <f t="shared" si="2"/>
        <v/>
      </c>
    </row>
    <row r="49" spans="1:17" ht="18" customHeight="1">
      <c r="A49" s="123">
        <f>IF(OR($C$6="",$I$6="",$L$6=""),"",IF(B49="","",SUBTOTAL(3,$B$11:B49)))</f>
        <v>39</v>
      </c>
      <c r="B49" s="151" t="str">
        <f>IF(OR($C$6="",$I$6="",$L$6=""),"",IF(HKI!$B49="","",HKI!$B49))</f>
        <v>13D301Đ117</v>
      </c>
      <c r="C49" s="26" t="str">
        <f>IF(OR($C$6="",$I$6="",$L$6=""),"",IF(HKI!$C49="","",HKI!$C49))</f>
        <v>Trịnh Ngọc</v>
      </c>
      <c r="D49" s="152" t="str">
        <f>IF(OR($C$6="",$I$6="",$L$6=""),"",IF(HKI!$D49="","",HKI!$D49))</f>
        <v>Sơn</v>
      </c>
      <c r="E49" s="461"/>
      <c r="F49" s="462">
        <v>0</v>
      </c>
      <c r="G49" s="462">
        <v>0</v>
      </c>
      <c r="H49" s="462">
        <v>0</v>
      </c>
      <c r="I49" s="462">
        <v>0</v>
      </c>
      <c r="J49" s="462"/>
      <c r="K49" s="462"/>
      <c r="L49" s="462">
        <v>0</v>
      </c>
      <c r="M49" s="466">
        <v>0</v>
      </c>
      <c r="N49" s="175">
        <f t="shared" si="1"/>
        <v>0</v>
      </c>
      <c r="O49" s="173" t="str">
        <f t="shared" si="0"/>
        <v>Kém</v>
      </c>
      <c r="P49" s="159" t="str">
        <f>IF(OR($B49="",$C$6&lt;&gt;HKI!$X$6,HKI!$Z49=""),"",HKI!$Z49)</f>
        <v/>
      </c>
      <c r="Q49" s="159" t="str">
        <f t="shared" si="2"/>
        <v/>
      </c>
    </row>
    <row r="50" spans="1:17" ht="18" customHeight="1">
      <c r="A50" s="123">
        <f>IF(OR($C$6="",$I$6="",$L$6=""),"",IF(B50="","",SUBTOTAL(3,$B$11:B50)))</f>
        <v>40</v>
      </c>
      <c r="B50" s="151" t="str">
        <f>IF(OR($C$6="",$I$6="",$L$6=""),"",IF(HKI!$B50="","",HKI!$B50))</f>
        <v>13D301Đ121</v>
      </c>
      <c r="C50" s="26" t="str">
        <f>IF(OR($C$6="",$I$6="",$L$6=""),"",IF(HKI!$C50="","",HKI!$C50))</f>
        <v>Lê Minh</v>
      </c>
      <c r="D50" s="152" t="str">
        <f>IF(OR($C$6="",$I$6="",$L$6=""),"",IF(HKI!$D50="","",HKI!$D50))</f>
        <v>Tâm</v>
      </c>
      <c r="E50" s="461"/>
      <c r="F50" s="462">
        <v>2</v>
      </c>
      <c r="G50" s="462">
        <v>3</v>
      </c>
      <c r="H50" s="462">
        <v>3</v>
      </c>
      <c r="I50" s="462">
        <v>5</v>
      </c>
      <c r="J50" s="462"/>
      <c r="K50" s="462"/>
      <c r="L50" s="462">
        <v>3</v>
      </c>
      <c r="M50" s="462">
        <v>2</v>
      </c>
      <c r="N50" s="175">
        <f t="shared" si="1"/>
        <v>2.6</v>
      </c>
      <c r="O50" s="173" t="str">
        <f t="shared" si="0"/>
        <v>Kém</v>
      </c>
      <c r="P50" s="159" t="str">
        <f>IF(OR($B50="",$C$6&lt;&gt;HKI!$X$6,HKI!$Z50=""),"",HKI!$Z50)</f>
        <v/>
      </c>
      <c r="Q50" s="159" t="str">
        <f t="shared" si="2"/>
        <v/>
      </c>
    </row>
    <row r="51" spans="1:17" ht="18" customHeight="1">
      <c r="A51" s="123">
        <f>IF(OR($C$6="",$I$6="",$L$6=""),"",IF(B51="","",SUBTOTAL(3,$B$11:B51)))</f>
        <v>41</v>
      </c>
      <c r="B51" s="151" t="str">
        <f>IF(OR($C$6="",$I$6="",$L$6=""),"",IF(HKI!$B51="","",HKI!$B51))</f>
        <v>13D301Đ124</v>
      </c>
      <c r="C51" s="26" t="str">
        <f>IF(OR($C$6="",$I$6="",$L$6=""),"",IF(HKI!$C51="","",HKI!$C51))</f>
        <v>Cao Nguyễn Nhật</v>
      </c>
      <c r="D51" s="152" t="str">
        <f>IF(OR($C$6="",$I$6="",$L$6=""),"",IF(HKI!$D51="","",HKI!$D51))</f>
        <v>Tân</v>
      </c>
      <c r="E51" s="461"/>
      <c r="F51" s="462">
        <v>3</v>
      </c>
      <c r="G51" s="462">
        <v>5</v>
      </c>
      <c r="H51" s="462">
        <v>7</v>
      </c>
      <c r="I51" s="462">
        <v>6</v>
      </c>
      <c r="J51" s="462"/>
      <c r="K51" s="462"/>
      <c r="L51" s="462">
        <v>8</v>
      </c>
      <c r="M51" s="462">
        <v>6.3</v>
      </c>
      <c r="N51" s="175">
        <f t="shared" si="1"/>
        <v>6.6</v>
      </c>
      <c r="O51" s="173" t="str">
        <f t="shared" si="0"/>
        <v>T.Bình</v>
      </c>
      <c r="P51" s="159" t="str">
        <f>IF(OR($B51="",$C$6&lt;&gt;HKI!$X$6,HKI!$Z51=""),"",HKI!$Z51)</f>
        <v/>
      </c>
      <c r="Q51" s="159" t="str">
        <f t="shared" si="2"/>
        <v/>
      </c>
    </row>
    <row r="52" spans="1:17" ht="18" customHeight="1">
      <c r="A52" s="123">
        <f>IF(OR($C$6="",$I$6="",$L$6=""),"",IF(B52="","",SUBTOTAL(3,$B$11:B52)))</f>
        <v>42</v>
      </c>
      <c r="B52" s="151" t="str">
        <f>IF(OR($C$6="",$I$6="",$L$6=""),"",IF(HKI!$B52="","",HKI!$B52))</f>
        <v>13D301Đ130</v>
      </c>
      <c r="C52" s="26" t="str">
        <f>IF(OR($C$6="",$I$6="",$L$6=""),"",IF(HKI!$C52="","",HKI!$C52))</f>
        <v>Nguyễn Việt</v>
      </c>
      <c r="D52" s="152" t="str">
        <f>IF(OR($C$6="",$I$6="",$L$6=""),"",IF(HKI!$D52="","",HKI!$D52))</f>
        <v>Thắng</v>
      </c>
      <c r="E52" s="461"/>
      <c r="F52" s="462">
        <v>5</v>
      </c>
      <c r="G52" s="462">
        <v>5</v>
      </c>
      <c r="H52" s="462">
        <v>6</v>
      </c>
      <c r="I52" s="462">
        <v>5</v>
      </c>
      <c r="J52" s="462"/>
      <c r="K52" s="462"/>
      <c r="L52" s="462">
        <v>6</v>
      </c>
      <c r="M52" s="462">
        <v>4.5</v>
      </c>
      <c r="N52" s="175">
        <f t="shared" si="1"/>
        <v>5.0999999999999996</v>
      </c>
      <c r="O52" s="173" t="str">
        <f t="shared" si="0"/>
        <v>TB Yếu</v>
      </c>
      <c r="P52" s="159" t="str">
        <f>IF(OR($B52="",$C$6&lt;&gt;HKI!$X$6,HKI!$Z52=""),"",HKI!$Z52)</f>
        <v/>
      </c>
      <c r="Q52" s="159" t="str">
        <f t="shared" si="2"/>
        <v/>
      </c>
    </row>
    <row r="53" spans="1:17" ht="18" customHeight="1">
      <c r="A53" s="123">
        <f>IF(OR($C$6="",$I$6="",$L$6=""),"",IF(B53="","",SUBTOTAL(3,$B$11:B53)))</f>
        <v>43</v>
      </c>
      <c r="B53" s="151" t="str">
        <f>IF(OR($C$6="",$I$6="",$L$6=""),"",IF(HKI!$B53="","",HKI!$B53))</f>
        <v>13D301Đ136</v>
      </c>
      <c r="C53" s="26" t="str">
        <f>IF(OR($C$6="",$I$6="",$L$6=""),"",IF(HKI!$C53="","",HKI!$C53))</f>
        <v>Trần Minh</v>
      </c>
      <c r="D53" s="152" t="str">
        <f>IF(OR($C$6="",$I$6="",$L$6=""),"",IF(HKI!$D53="","",HKI!$D53))</f>
        <v>Thanh</v>
      </c>
      <c r="E53" s="461"/>
      <c r="F53" s="462">
        <v>4</v>
      </c>
      <c r="G53" s="462">
        <v>7</v>
      </c>
      <c r="H53" s="462">
        <v>8</v>
      </c>
      <c r="I53" s="462">
        <v>9</v>
      </c>
      <c r="J53" s="462"/>
      <c r="K53" s="462"/>
      <c r="L53" s="462">
        <v>9</v>
      </c>
      <c r="M53" s="462">
        <v>6.3</v>
      </c>
      <c r="N53" s="175">
        <f t="shared" si="1"/>
        <v>7.3</v>
      </c>
      <c r="O53" s="173" t="str">
        <f t="shared" si="0"/>
        <v>Khá</v>
      </c>
      <c r="P53" s="159" t="str">
        <f>IF(OR($B53="",$C$6&lt;&gt;HKI!$X$6,HKI!$Z53=""),"",HKI!$Z53)</f>
        <v/>
      </c>
      <c r="Q53" s="159" t="str">
        <f t="shared" si="2"/>
        <v/>
      </c>
    </row>
    <row r="54" spans="1:17" ht="18" customHeight="1">
      <c r="A54" s="123">
        <f>IF(OR($C$6="",$I$6="",$L$6=""),"",IF(B54="","",SUBTOTAL(3,$B$11:B54)))</f>
        <v>44</v>
      </c>
      <c r="B54" s="151" t="str">
        <f>IF(OR($C$6="",$I$6="",$L$6=""),"",IF(HKI!$B54="","",HKI!$B54))</f>
        <v>13D301Đ133</v>
      </c>
      <c r="C54" s="26" t="str">
        <f>IF(OR($C$6="",$I$6="",$L$6=""),"",IF(HKI!$C54="","",HKI!$C54))</f>
        <v>Nguyễn Khắc</v>
      </c>
      <c r="D54" s="152" t="str">
        <f>IF(OR($C$6="",$I$6="",$L$6=""),"",IF(HKI!$D54="","",HKI!$D54))</f>
        <v>Thành</v>
      </c>
      <c r="E54" s="461"/>
      <c r="F54" s="462">
        <v>5</v>
      </c>
      <c r="G54" s="462">
        <v>6</v>
      </c>
      <c r="H54" s="462">
        <v>7</v>
      </c>
      <c r="I54" s="462">
        <v>5</v>
      </c>
      <c r="J54" s="462"/>
      <c r="K54" s="462"/>
      <c r="L54" s="462">
        <v>6</v>
      </c>
      <c r="M54" s="462">
        <v>3.8</v>
      </c>
      <c r="N54" s="175">
        <f t="shared" si="1"/>
        <v>4.9000000000000004</v>
      </c>
      <c r="O54" s="173" t="str">
        <f t="shared" si="0"/>
        <v>TB Yếu</v>
      </c>
      <c r="P54" s="159" t="str">
        <f>IF(OR($B54="",$C$6&lt;&gt;HKI!$X$6,HKI!$Z54=""),"",HKI!$Z54)</f>
        <v/>
      </c>
      <c r="Q54" s="159" t="str">
        <f t="shared" si="2"/>
        <v/>
      </c>
    </row>
    <row r="55" spans="1:17" ht="18" customHeight="1">
      <c r="A55" s="123">
        <f>IF(OR($C$6="",$I$6="",$L$6=""),"",IF(B55="","",SUBTOTAL(3,$B$11:B55)))</f>
        <v>45</v>
      </c>
      <c r="B55" s="151" t="str">
        <f>IF(OR($C$6="",$I$6="",$L$6=""),"",IF(HKI!$B55="","",HKI!$B55))</f>
        <v>13D301Đ169</v>
      </c>
      <c r="C55" s="26" t="str">
        <f>IF(OR($C$6="",$I$6="",$L$6=""),"",IF(HKI!$C55="","",HKI!$C55))</f>
        <v>Nguyễn Thanh</v>
      </c>
      <c r="D55" s="152" t="str">
        <f>IF(OR($C$6="",$I$6="",$L$6=""),"",IF(HKI!$D55="","",HKI!$D55))</f>
        <v>Thảo</v>
      </c>
      <c r="E55" s="461"/>
      <c r="F55" s="462">
        <v>3</v>
      </c>
      <c r="G55" s="462">
        <v>6</v>
      </c>
      <c r="H55" s="462">
        <v>5</v>
      </c>
      <c r="I55" s="462">
        <v>5</v>
      </c>
      <c r="J55" s="462"/>
      <c r="K55" s="462"/>
      <c r="L55" s="462">
        <v>4</v>
      </c>
      <c r="M55" s="462">
        <v>2.8</v>
      </c>
      <c r="N55" s="175">
        <f t="shared" si="1"/>
        <v>3.6</v>
      </c>
      <c r="O55" s="173" t="str">
        <f t="shared" si="0"/>
        <v>Kém</v>
      </c>
      <c r="P55" s="159" t="str">
        <f>IF(OR($B55="",$C$6&lt;&gt;HKI!$X$6,HKI!$Z55=""),"",HKI!$Z55)</f>
        <v/>
      </c>
      <c r="Q55" s="159" t="str">
        <f t="shared" si="2"/>
        <v/>
      </c>
    </row>
    <row r="56" spans="1:17" ht="18" customHeight="1">
      <c r="A56" s="123">
        <f>IF(OR($C$6="",$I$6="",$L$6=""),"",IF(B56="","",SUBTOTAL(3,$B$11:B56)))</f>
        <v>46</v>
      </c>
      <c r="B56" s="151" t="str">
        <f>IF(OR($C$6="",$I$6="",$L$6=""),"",IF(HKI!$B56="","",HKI!$B56))</f>
        <v>13D301Đ154</v>
      </c>
      <c r="C56" s="26" t="str">
        <f>IF(OR($C$6="",$I$6="",$L$6=""),"",IF(HKI!$C56="","",HKI!$C56))</f>
        <v>Võ Đức</v>
      </c>
      <c r="D56" s="152" t="str">
        <f>IF(OR($C$6="",$I$6="",$L$6=""),"",IF(HKI!$D56="","",HKI!$D56))</f>
        <v>Trí</v>
      </c>
      <c r="E56" s="461"/>
      <c r="F56" s="462">
        <v>3</v>
      </c>
      <c r="G56" s="462">
        <v>5</v>
      </c>
      <c r="H56" s="462">
        <v>5</v>
      </c>
      <c r="I56" s="462">
        <v>5</v>
      </c>
      <c r="J56" s="462"/>
      <c r="K56" s="462"/>
      <c r="L56" s="462">
        <v>4</v>
      </c>
      <c r="M56" s="462">
        <v>2.5</v>
      </c>
      <c r="N56" s="175">
        <f t="shared" si="1"/>
        <v>3.4</v>
      </c>
      <c r="O56" s="173" t="str">
        <f t="shared" si="0"/>
        <v>Kém</v>
      </c>
      <c r="P56" s="159" t="str">
        <f>IF(OR($B56="",$C$6&lt;&gt;HKI!$X$6,HKI!$Z56=""),"",HKI!$Z56)</f>
        <v/>
      </c>
      <c r="Q56" s="159" t="str">
        <f t="shared" si="2"/>
        <v/>
      </c>
    </row>
    <row r="57" spans="1:17" s="148" customFormat="1" ht="18" customHeight="1">
      <c r="A57" s="123">
        <f>IF(OR($C$6="",$I$6="",$L$6=""),"",IF(B57="","",SUBTOTAL(3,$B$11:B57)))</f>
        <v>47</v>
      </c>
      <c r="B57" s="151" t="str">
        <f>IF(OR($C$6="",$I$6="",$L$6=""),"",IF(HKI!$B57="","",HKI!$B57))</f>
        <v>13D301Đ160</v>
      </c>
      <c r="C57" s="26" t="str">
        <f>IF(OR($C$6="",$I$6="",$L$6=""),"",IF(HKI!$C57="","",HKI!$C57))</f>
        <v>Nguyễn Bá</v>
      </c>
      <c r="D57" s="152" t="str">
        <f>IF(OR($C$6="",$I$6="",$L$6=""),"",IF(HKI!$D57="","",HKI!$D57))</f>
        <v>Trung</v>
      </c>
      <c r="E57" s="461"/>
      <c r="F57" s="462">
        <v>4</v>
      </c>
      <c r="G57" s="462">
        <v>6</v>
      </c>
      <c r="H57" s="462">
        <v>7</v>
      </c>
      <c r="I57" s="462">
        <v>5</v>
      </c>
      <c r="J57" s="462"/>
      <c r="K57" s="462"/>
      <c r="L57" s="462">
        <v>5</v>
      </c>
      <c r="M57" s="462">
        <v>3.5</v>
      </c>
      <c r="N57" s="175">
        <f t="shared" si="1"/>
        <v>4.4000000000000004</v>
      </c>
      <c r="O57" s="173" t="str">
        <f t="shared" si="0"/>
        <v>TB Yếu</v>
      </c>
      <c r="P57" s="159" t="str">
        <f>IF(OR($B57="",$C$6&lt;&gt;HKI!$X$6,HKI!$Z57=""),"",HKI!$Z57)</f>
        <v/>
      </c>
      <c r="Q57" s="159" t="str">
        <f t="shared" si="2"/>
        <v/>
      </c>
    </row>
    <row r="58" spans="1:17" s="148" customFormat="1" ht="18" customHeight="1">
      <c r="A58" s="123">
        <f>IF(OR($C$6="",$I$6="",$L$6=""),"",IF(B58="","",SUBTOTAL(3,$B$11:B58)))</f>
        <v>48</v>
      </c>
      <c r="B58" s="151" t="str">
        <f>IF(OR($C$6="",$I$6="",$L$6=""),"",IF(HKI!$B58="","",HKI!$B58))</f>
        <v>13D301Đ163</v>
      </c>
      <c r="C58" s="26" t="str">
        <f>IF(OR($C$6="",$I$6="",$L$6=""),"",IF(HKI!$C58="","",HKI!$C58))</f>
        <v>Mai Ngọc</v>
      </c>
      <c r="D58" s="152" t="str">
        <f>IF(OR($C$6="",$I$6="",$L$6=""),"",IF(HKI!$D58="","",HKI!$D58))</f>
        <v>Trước</v>
      </c>
      <c r="E58" s="461"/>
      <c r="F58" s="462">
        <v>4</v>
      </c>
      <c r="G58" s="462">
        <v>6</v>
      </c>
      <c r="H58" s="462">
        <v>7</v>
      </c>
      <c r="I58" s="462">
        <v>5</v>
      </c>
      <c r="J58" s="462"/>
      <c r="K58" s="462"/>
      <c r="L58" s="462">
        <v>7</v>
      </c>
      <c r="M58" s="462">
        <v>5.5</v>
      </c>
      <c r="N58" s="175">
        <f t="shared" si="1"/>
        <v>6</v>
      </c>
      <c r="O58" s="173" t="str">
        <f t="shared" si="0"/>
        <v>T.Bình</v>
      </c>
      <c r="P58" s="159" t="str">
        <f>IF(OR($B58="",$C$6&lt;&gt;HKI!$X$6,HKI!$Z58=""),"",HKI!$Z58)</f>
        <v/>
      </c>
      <c r="Q58" s="159" t="str">
        <f t="shared" si="2"/>
        <v/>
      </c>
    </row>
    <row r="59" spans="1:17" ht="18" customHeight="1">
      <c r="A59" s="123">
        <f>IF(OR($C$6="",$I$6="",$L$6=""),"",IF(B59="","",SUBTOTAL(3,$B$11:B59)))</f>
        <v>49</v>
      </c>
      <c r="B59" s="151" t="str">
        <f>IF(OR($C$6="",$I$6="",$L$6=""),"",IF(HKI!$B59="","",HKI!$B59))</f>
        <v>13D301Đ166</v>
      </c>
      <c r="C59" s="26" t="str">
        <f>IF(OR($C$6="",$I$6="",$L$6=""),"",IF(HKI!$C59="","",HKI!$C59))</f>
        <v>Nguyễn Văn</v>
      </c>
      <c r="D59" s="152" t="str">
        <f>IF(OR($C$6="",$I$6="",$L$6=""),"",IF(HKI!$D59="","",HKI!$D59))</f>
        <v>Tư</v>
      </c>
      <c r="E59" s="461"/>
      <c r="F59" s="462">
        <v>0</v>
      </c>
      <c r="G59" s="462">
        <v>0</v>
      </c>
      <c r="H59" s="462">
        <v>0</v>
      </c>
      <c r="I59" s="462">
        <v>0</v>
      </c>
      <c r="J59" s="462"/>
      <c r="K59" s="462"/>
      <c r="L59" s="462">
        <v>0</v>
      </c>
      <c r="M59" s="466">
        <v>0</v>
      </c>
      <c r="N59" s="175">
        <f t="shared" si="1"/>
        <v>0</v>
      </c>
      <c r="O59" s="173" t="str">
        <f t="shared" si="0"/>
        <v>Kém</v>
      </c>
      <c r="P59" s="159" t="str">
        <f>IF(OR($B59="",$C$6&lt;&gt;HKI!$X$6,HKI!$Z59=""),"",HKI!$Z59)</f>
        <v/>
      </c>
      <c r="Q59" s="159" t="str">
        <f t="shared" si="2"/>
        <v/>
      </c>
    </row>
    <row r="60" spans="1:17" ht="18" customHeight="1">
      <c r="A60" s="123">
        <f>IF(OR($C$6="",$I$6="",$L$6=""),"",IF(B60="","",SUBTOTAL(3,$B$11:B60)))</f>
        <v>50</v>
      </c>
      <c r="B60" s="151" t="str">
        <f>IF(OR($C$6="",$I$6="",$L$6=""),"",IF(HKI!$B60="","",HKI!$B60))</f>
        <v>13D301Đ178</v>
      </c>
      <c r="C60" s="26" t="str">
        <f>IF(OR($C$6="",$I$6="",$L$6=""),"",IF(HKI!$C60="","",HKI!$C60))</f>
        <v>Lê Văn</v>
      </c>
      <c r="D60" s="152" t="str">
        <f>IF(OR($C$6="",$I$6="",$L$6=""),"",IF(HKI!$D60="","",HKI!$D60))</f>
        <v>Vũ</v>
      </c>
      <c r="E60" s="461"/>
      <c r="F60" s="462">
        <v>0</v>
      </c>
      <c r="G60" s="462">
        <v>0</v>
      </c>
      <c r="H60" s="462">
        <v>0</v>
      </c>
      <c r="I60" s="462">
        <v>0</v>
      </c>
      <c r="J60" s="462"/>
      <c r="K60" s="462"/>
      <c r="L60" s="462">
        <v>0</v>
      </c>
      <c r="M60" s="466">
        <v>0</v>
      </c>
      <c r="N60" s="175">
        <f t="shared" si="1"/>
        <v>0</v>
      </c>
      <c r="O60" s="173" t="str">
        <f t="shared" si="0"/>
        <v>Kém</v>
      </c>
      <c r="P60" s="159" t="str">
        <f>IF(OR($B60="",$C$6&lt;&gt;HKI!$X$6,HKI!$Z60=""),"",HKI!$Z60)</f>
        <v/>
      </c>
      <c r="Q60" s="159" t="str">
        <f t="shared" si="2"/>
        <v/>
      </c>
    </row>
    <row r="61" spans="1:17" ht="18" customHeight="1">
      <c r="A61" s="123" t="str">
        <f>IF(OR($C$6="",$I$6="",$L$6=""),"",IF(B61="","",SUBTOTAL(3,$B$11:B61)))</f>
        <v/>
      </c>
      <c r="B61" s="151" t="str">
        <f>IF(OR($C$6="",$I$6="",$L$6=""),"",IF(HKI!$B61="","",HKI!$B61))</f>
        <v/>
      </c>
      <c r="C61" s="26" t="str">
        <f>IF(OR($C$6="",$I$6="",$L$6=""),"",IF(HKI!$C61="","",HKI!$C61))</f>
        <v/>
      </c>
      <c r="D61" s="152" t="str">
        <f>IF(OR($C$6="",$I$6="",$L$6=""),"",IF(HKI!$D61="","",HKI!$D61))</f>
        <v/>
      </c>
      <c r="E61" s="45"/>
      <c r="F61" s="45"/>
      <c r="G61" s="45"/>
      <c r="H61" s="45"/>
      <c r="I61" s="45"/>
      <c r="J61" s="45"/>
      <c r="K61" s="45"/>
      <c r="L61" s="45"/>
      <c r="M61" s="45"/>
      <c r="N61" s="175" t="str">
        <f t="shared" si="1"/>
        <v/>
      </c>
      <c r="O61" s="173" t="str">
        <f t="shared" si="0"/>
        <v/>
      </c>
      <c r="P61" s="159" t="str">
        <f>IF(OR($B61="",$C$6&lt;&gt;HKI!$X$6,HKI!$Z61=""),"",HKI!$Z61)</f>
        <v/>
      </c>
      <c r="Q61" s="159" t="str">
        <f t="shared" si="2"/>
        <v/>
      </c>
    </row>
    <row r="62" spans="1:17" ht="18" customHeight="1">
      <c r="A62" s="123" t="str">
        <f>IF(OR($C$6="",$I$6="",$L$6=""),"",IF(B62="","",SUBTOTAL(3,$B$11:B62)))</f>
        <v/>
      </c>
      <c r="B62" s="151" t="str">
        <f>IF(OR($C$6="",$I$6="",$L$6=""),"",IF(HKI!$B62="","",HKI!$B62))</f>
        <v/>
      </c>
      <c r="C62" s="26" t="str">
        <f>IF(OR($C$6="",$I$6="",$L$6=""),"",IF(HKI!$C62="","",HKI!$C62))</f>
        <v/>
      </c>
      <c r="D62" s="152" t="str">
        <f>IF(OR($C$6="",$I$6="",$L$6=""),"",IF(HKI!$D62="","",HKI!$D62))</f>
        <v/>
      </c>
      <c r="E62" s="45"/>
      <c r="F62" s="45"/>
      <c r="G62" s="45"/>
      <c r="H62" s="45"/>
      <c r="I62" s="45"/>
      <c r="J62" s="45"/>
      <c r="K62" s="45"/>
      <c r="L62" s="45"/>
      <c r="M62" s="45"/>
      <c r="N62" s="175" t="str">
        <f t="shared" si="1"/>
        <v/>
      </c>
      <c r="O62" s="173" t="str">
        <f t="shared" si="0"/>
        <v/>
      </c>
      <c r="P62" s="159" t="str">
        <f>IF(OR($B62="",$C$6&lt;&gt;HKI!$X$6,HKI!$Z62=""),"",HKI!$Z62)</f>
        <v/>
      </c>
      <c r="Q62" s="159" t="str">
        <f t="shared" si="2"/>
        <v/>
      </c>
    </row>
    <row r="63" spans="1:17" ht="18" customHeight="1">
      <c r="A63" s="123" t="str">
        <f>IF(OR($C$6="",$I$6="",$L$6=""),"",IF(B63="","",SUBTOTAL(3,$B$11:B63)))</f>
        <v/>
      </c>
      <c r="B63" s="151" t="str">
        <f>IF(OR($C$6="",$I$6="",$L$6=""),"",IF(HKI!$B63="","",HKI!$B63))</f>
        <v/>
      </c>
      <c r="C63" s="26" t="str">
        <f>IF(OR($C$6="",$I$6="",$L$6=""),"",IF(HKI!$C63="","",HKI!$C63))</f>
        <v/>
      </c>
      <c r="D63" s="152" t="str">
        <f>IF(OR($C$6="",$I$6="",$L$6=""),"",IF(HKI!$D63="","",HKI!$D63))</f>
        <v/>
      </c>
      <c r="E63" s="45"/>
      <c r="F63" s="45"/>
      <c r="G63" s="45"/>
      <c r="H63" s="45"/>
      <c r="I63" s="45"/>
      <c r="J63" s="45"/>
      <c r="K63" s="45"/>
      <c r="L63" s="45"/>
      <c r="M63" s="45"/>
      <c r="N63" s="175" t="str">
        <f t="shared" si="1"/>
        <v/>
      </c>
      <c r="O63" s="173" t="str">
        <f t="shared" si="0"/>
        <v/>
      </c>
      <c r="P63" s="159" t="str">
        <f>IF(OR($B63="",$C$6&lt;&gt;HKI!$X$6,HKI!$Z63=""),"",HKI!$Z63)</f>
        <v/>
      </c>
      <c r="Q63" s="159" t="str">
        <f t="shared" si="2"/>
        <v/>
      </c>
    </row>
    <row r="64" spans="1:17" ht="18" customHeight="1">
      <c r="A64" s="123" t="str">
        <f>IF(OR($C$6="",$I$6="",$L$6=""),"",IF(B64="","",SUBTOTAL(3,$B$11:B64)))</f>
        <v/>
      </c>
      <c r="B64" s="151" t="str">
        <f>IF(OR($C$6="",$I$6="",$L$6=""),"",IF(HKI!$B64="","",HKI!$B64))</f>
        <v/>
      </c>
      <c r="C64" s="26" t="str">
        <f>IF(OR($C$6="",$I$6="",$L$6=""),"",IF(HKI!$C64="","",HKI!$C64))</f>
        <v/>
      </c>
      <c r="D64" s="152" t="str">
        <f>IF(OR($C$6="",$I$6="",$L$6=""),"",IF(HKI!$D64="","",HKI!$D64))</f>
        <v/>
      </c>
      <c r="E64" s="45"/>
      <c r="F64" s="45"/>
      <c r="G64" s="45"/>
      <c r="H64" s="45"/>
      <c r="I64" s="45"/>
      <c r="J64" s="45"/>
      <c r="K64" s="45"/>
      <c r="L64" s="45"/>
      <c r="M64" s="45"/>
      <c r="N64" s="175" t="str">
        <f t="shared" si="1"/>
        <v/>
      </c>
      <c r="O64" s="173" t="str">
        <f t="shared" si="0"/>
        <v/>
      </c>
      <c r="P64" s="159" t="str">
        <f>IF(OR($B64="",$C$6&lt;&gt;HKI!$X$6,HKI!$Z64=""),"",HKI!$Z64)</f>
        <v/>
      </c>
      <c r="Q64" s="159" t="str">
        <f t="shared" si="2"/>
        <v/>
      </c>
    </row>
    <row r="65" spans="1:17" ht="18" customHeight="1">
      <c r="A65" s="123" t="str">
        <f>IF(OR($C$6="",$I$6="",$L$6=""),"",IF(B65="","",SUBTOTAL(3,$B$11:B65)))</f>
        <v/>
      </c>
      <c r="B65" s="151" t="str">
        <f>IF(OR($C$6="",$I$6="",$L$6=""),"",IF(HKI!$B65="","",HKI!$B65))</f>
        <v/>
      </c>
      <c r="C65" s="26" t="str">
        <f>IF(OR($C$6="",$I$6="",$L$6=""),"",IF(HKI!$C65="","",HKI!$C65))</f>
        <v/>
      </c>
      <c r="D65" s="152" t="str">
        <f>IF(OR($C$6="",$I$6="",$L$6=""),"",IF(HKI!$D65="","",HKI!$D65))</f>
        <v/>
      </c>
      <c r="E65" s="45"/>
      <c r="F65" s="45"/>
      <c r="G65" s="45"/>
      <c r="H65" s="45"/>
      <c r="I65" s="45"/>
      <c r="J65" s="45"/>
      <c r="K65" s="45"/>
      <c r="L65" s="45"/>
      <c r="M65" s="45"/>
      <c r="N65" s="175" t="str">
        <f t="shared" si="1"/>
        <v/>
      </c>
      <c r="O65" s="173" t="str">
        <f t="shared" si="0"/>
        <v/>
      </c>
      <c r="P65" s="159" t="str">
        <f>IF(OR($B65="",$C$6&lt;&gt;HKI!$X$6,HKI!$Z65=""),"",HKI!$Z65)</f>
        <v/>
      </c>
      <c r="Q65" s="159" t="str">
        <f t="shared" si="2"/>
        <v/>
      </c>
    </row>
    <row r="66" spans="1:17" ht="18" customHeight="1">
      <c r="A66" s="123" t="str">
        <f>IF(OR($C$6="",$I$6="",$L$6=""),"",IF(B66="","",SUBTOTAL(3,$B$11:B66)))</f>
        <v/>
      </c>
      <c r="B66" s="151" t="str">
        <f>IF(OR($C$6="",$I$6="",$L$6=""),"",IF(HKI!$B66="","",HKI!$B66))</f>
        <v/>
      </c>
      <c r="C66" s="26" t="str">
        <f>IF(OR($C$6="",$I$6="",$L$6=""),"",IF(HKI!$C66="","",HKI!$C66))</f>
        <v/>
      </c>
      <c r="D66" s="152" t="str">
        <f>IF(OR($C$6="",$I$6="",$L$6=""),"",IF(HKI!$D66="","",HKI!$D66))</f>
        <v/>
      </c>
      <c r="E66" s="45"/>
      <c r="F66" s="45"/>
      <c r="G66" s="45"/>
      <c r="H66" s="45"/>
      <c r="I66" s="45"/>
      <c r="J66" s="45"/>
      <c r="K66" s="45"/>
      <c r="L66" s="45"/>
      <c r="M66" s="45"/>
      <c r="N66" s="175" t="str">
        <f t="shared" si="1"/>
        <v/>
      </c>
      <c r="O66" s="173" t="str">
        <f t="shared" si="0"/>
        <v/>
      </c>
      <c r="P66" s="159" t="str">
        <f>IF(OR($B66="",$C$6&lt;&gt;HKI!$X$6,HKI!$Z66=""),"",HKI!$Z66)</f>
        <v/>
      </c>
      <c r="Q66" s="159" t="str">
        <f t="shared" si="2"/>
        <v/>
      </c>
    </row>
    <row r="67" spans="1:17" ht="18" customHeight="1">
      <c r="A67" s="123" t="str">
        <f>IF(OR($C$6="",$I$6="",$L$6=""),"",IF(B67="","",SUBTOTAL(3,$B$11:B67)))</f>
        <v/>
      </c>
      <c r="B67" s="151" t="str">
        <f>IF(OR($C$6="",$I$6="",$L$6=""),"",IF(HKI!$B67="","",HKI!$B67))</f>
        <v/>
      </c>
      <c r="C67" s="26" t="str">
        <f>IF(OR($C$6="",$I$6="",$L$6=""),"",IF(HKI!$C67="","",HKI!$C67))</f>
        <v/>
      </c>
      <c r="D67" s="152" t="str">
        <f>IF(OR($C$6="",$I$6="",$L$6=""),"",IF(HKI!$D67="","",HKI!$D67))</f>
        <v/>
      </c>
      <c r="E67" s="45"/>
      <c r="F67" s="45"/>
      <c r="G67" s="45"/>
      <c r="H67" s="45"/>
      <c r="I67" s="45"/>
      <c r="J67" s="45"/>
      <c r="K67" s="45"/>
      <c r="L67" s="45"/>
      <c r="M67" s="45"/>
      <c r="N67" s="175" t="str">
        <f t="shared" si="1"/>
        <v/>
      </c>
      <c r="O67" s="173" t="str">
        <f t="shared" si="0"/>
        <v/>
      </c>
      <c r="P67" s="159" t="str">
        <f>IF(OR($B67="",$C$6&lt;&gt;HKI!$X$6,HKI!$Z67=""),"",HKI!$Z67)</f>
        <v/>
      </c>
      <c r="Q67" s="159" t="str">
        <f t="shared" si="2"/>
        <v/>
      </c>
    </row>
    <row r="68" spans="1:17" ht="18" customHeight="1">
      <c r="A68" s="123" t="str">
        <f>IF(OR($C$6="",$I$6="",$L$6=""),"",IF(B68="","",SUBTOTAL(3,$B$11:B68)))</f>
        <v/>
      </c>
      <c r="B68" s="151" t="str">
        <f>IF(OR($C$6="",$I$6="",$L$6=""),"",IF(HKI!$B68="","",HKI!$B68))</f>
        <v/>
      </c>
      <c r="C68" s="26" t="str">
        <f>IF(OR($C$6="",$I$6="",$L$6=""),"",IF(HKI!$C68="","",HKI!$C68))</f>
        <v/>
      </c>
      <c r="D68" s="152" t="str">
        <f>IF(OR($C$6="",$I$6="",$L$6=""),"",IF(HKI!$D68="","",HKI!$D68))</f>
        <v/>
      </c>
      <c r="E68" s="45"/>
      <c r="F68" s="45"/>
      <c r="G68" s="45"/>
      <c r="H68" s="45"/>
      <c r="I68" s="45"/>
      <c r="J68" s="45"/>
      <c r="K68" s="45"/>
      <c r="L68" s="45"/>
      <c r="M68" s="45"/>
      <c r="N68" s="175" t="str">
        <f t="shared" si="1"/>
        <v/>
      </c>
      <c r="O68" s="173" t="str">
        <f t="shared" si="0"/>
        <v/>
      </c>
      <c r="P68" s="159" t="str">
        <f>IF(OR($B68="",$C$6&lt;&gt;HKI!$X$6,HKI!$Z68=""),"",HKI!$Z68)</f>
        <v/>
      </c>
      <c r="Q68" s="159" t="str">
        <f t="shared" si="2"/>
        <v/>
      </c>
    </row>
    <row r="69" spans="1:17" ht="18" customHeight="1">
      <c r="A69" s="123" t="str">
        <f>IF(OR($C$6="",$I$6="",$L$6=""),"",IF(B69="","",SUBTOTAL(3,$B$11:B69)))</f>
        <v/>
      </c>
      <c r="B69" s="151" t="str">
        <f>IF(OR($C$6="",$I$6="",$L$6=""),"",IF(HKI!$B69="","",HKI!$B69))</f>
        <v/>
      </c>
      <c r="C69" s="26" t="str">
        <f>IF(OR($C$6="",$I$6="",$L$6=""),"",IF(HKI!$C69="","",HKI!$C69))</f>
        <v/>
      </c>
      <c r="D69" s="152" t="str">
        <f>IF(OR($C$6="",$I$6="",$L$6=""),"",IF(HKI!$D69="","",HKI!$D69))</f>
        <v/>
      </c>
      <c r="E69" s="45"/>
      <c r="F69" s="45"/>
      <c r="G69" s="45"/>
      <c r="H69" s="45"/>
      <c r="I69" s="45"/>
      <c r="J69" s="45"/>
      <c r="K69" s="45"/>
      <c r="L69" s="45"/>
      <c r="M69" s="45"/>
      <c r="N69" s="175" t="str">
        <f t="shared" si="1"/>
        <v/>
      </c>
      <c r="O69" s="173" t="str">
        <f t="shared" si="0"/>
        <v/>
      </c>
      <c r="P69" s="159" t="str">
        <f>IF(OR($B69="",$C$6&lt;&gt;HKI!$X$6,HKI!$Z69=""),"",HKI!$Z69)</f>
        <v/>
      </c>
      <c r="Q69" s="159" t="str">
        <f t="shared" si="2"/>
        <v/>
      </c>
    </row>
    <row r="70" spans="1:17" ht="18" customHeight="1">
      <c r="A70" s="123" t="str">
        <f>IF(OR($C$6="",$I$6="",$L$6=""),"",IF(B70="","",SUBTOTAL(3,$B$11:B70)))</f>
        <v/>
      </c>
      <c r="B70" s="151" t="str">
        <f>IF(OR($C$6="",$I$6="",$L$6=""),"",IF(HKI!$B70="","",HKI!$B70))</f>
        <v/>
      </c>
      <c r="C70" s="26" t="str">
        <f>IF(OR($C$6="",$I$6="",$L$6=""),"",IF(HKI!$C70="","",HKI!$C70))</f>
        <v/>
      </c>
      <c r="D70" s="152" t="str">
        <f>IF(OR($C$6="",$I$6="",$L$6=""),"",IF(HKI!$D70="","",HKI!$D70))</f>
        <v/>
      </c>
      <c r="E70" s="45"/>
      <c r="F70" s="45"/>
      <c r="G70" s="45"/>
      <c r="H70" s="45"/>
      <c r="I70" s="45"/>
      <c r="J70" s="45"/>
      <c r="K70" s="45"/>
      <c r="L70" s="45"/>
      <c r="M70" s="45"/>
      <c r="N70" s="175" t="str">
        <f t="shared" si="1"/>
        <v/>
      </c>
      <c r="O70" s="173" t="str">
        <f t="shared" si="0"/>
        <v/>
      </c>
      <c r="P70" s="159" t="str">
        <f>IF(OR($B70="",$C$6&lt;&gt;HKI!$X$6,HKI!$Z70=""),"",HKI!$Z70)</f>
        <v/>
      </c>
      <c r="Q70" s="159" t="str">
        <f t="shared" si="2"/>
        <v/>
      </c>
    </row>
    <row r="71" spans="1:17" ht="18" customHeight="1">
      <c r="A71" s="123" t="str">
        <f>IF(OR($C$6="",$I$6="",$L$6=""),"",IF(B71="","",SUBTOTAL(3,$B$11:B71)))</f>
        <v/>
      </c>
      <c r="B71" s="151" t="str">
        <f>IF(OR($C$6="",$I$6="",$L$6=""),"",IF(HKI!$B71="","",HKI!$B71))</f>
        <v/>
      </c>
      <c r="C71" s="26" t="str">
        <f>IF(OR($C$6="",$I$6="",$L$6=""),"",IF(HKI!$C71="","",HKI!$C71))</f>
        <v/>
      </c>
      <c r="D71" s="152" t="str">
        <f>IF(OR($C$6="",$I$6="",$L$6=""),"",IF(HKI!$D71="","",HKI!$D71))</f>
        <v/>
      </c>
      <c r="E71" s="45"/>
      <c r="F71" s="45"/>
      <c r="G71" s="45"/>
      <c r="H71" s="45"/>
      <c r="I71" s="45"/>
      <c r="J71" s="45"/>
      <c r="K71" s="45"/>
      <c r="L71" s="45"/>
      <c r="M71" s="45"/>
      <c r="N71" s="175" t="str">
        <f t="shared" si="1"/>
        <v/>
      </c>
      <c r="O71" s="173" t="str">
        <f t="shared" si="0"/>
        <v/>
      </c>
      <c r="P71" s="159" t="str">
        <f>IF(OR($B71="",$C$6&lt;&gt;HKI!$X$6,HKI!$Z71=""),"",HKI!$Z71)</f>
        <v/>
      </c>
      <c r="Q71" s="159" t="str">
        <f t="shared" si="2"/>
        <v/>
      </c>
    </row>
    <row r="72" spans="1:17" ht="18" customHeight="1">
      <c r="A72" s="123" t="str">
        <f>IF(OR($C$6="",$I$6="",$L$6=""),"",IF(B72="","",SUBTOTAL(3,$B$11:B72)))</f>
        <v/>
      </c>
      <c r="B72" s="151" t="str">
        <f>IF(OR($C$6="",$I$6="",$L$6=""),"",IF(HKI!$B72="","",HKI!$B72))</f>
        <v/>
      </c>
      <c r="C72" s="26" t="str">
        <f>IF(OR($C$6="",$I$6="",$L$6=""),"",IF(HKI!$C72="","",HKI!$C72))</f>
        <v/>
      </c>
      <c r="D72" s="152" t="str">
        <f>IF(OR($C$6="",$I$6="",$L$6=""),"",IF(HKI!$D72="","",HKI!$D72))</f>
        <v/>
      </c>
      <c r="E72" s="45"/>
      <c r="F72" s="45"/>
      <c r="G72" s="45"/>
      <c r="H72" s="45"/>
      <c r="I72" s="45"/>
      <c r="J72" s="45"/>
      <c r="K72" s="45"/>
      <c r="L72" s="45"/>
      <c r="M72" s="45"/>
      <c r="N72" s="175" t="str">
        <f t="shared" si="1"/>
        <v/>
      </c>
      <c r="O72" s="173" t="str">
        <f t="shared" si="0"/>
        <v/>
      </c>
      <c r="P72" s="159" t="str">
        <f>IF(OR($B72="",$C$6&lt;&gt;HKI!$X$6,HKI!$Z72=""),"",HKI!$Z72)</f>
        <v/>
      </c>
      <c r="Q72" s="159" t="str">
        <f t="shared" si="2"/>
        <v/>
      </c>
    </row>
    <row r="73" spans="1:17" ht="18" customHeight="1">
      <c r="A73" s="123" t="str">
        <f>IF(OR($C$6="",$I$6="",$L$6=""),"",IF(B73="","",SUBTOTAL(3,$B$11:B73)))</f>
        <v/>
      </c>
      <c r="B73" s="151" t="str">
        <f>IF(OR($C$6="",$I$6="",$L$6=""),"",IF(HKI!$B73="","",HKI!$B73))</f>
        <v/>
      </c>
      <c r="C73" s="26" t="str">
        <f>IF(OR($C$6="",$I$6="",$L$6=""),"",IF(HKI!$C73="","",HKI!$C73))</f>
        <v/>
      </c>
      <c r="D73" s="152" t="str">
        <f>IF(OR($C$6="",$I$6="",$L$6=""),"",IF(HKI!$D73="","",HKI!$D73))</f>
        <v/>
      </c>
      <c r="E73" s="45"/>
      <c r="F73" s="45"/>
      <c r="G73" s="45"/>
      <c r="H73" s="45"/>
      <c r="I73" s="45"/>
      <c r="J73" s="45"/>
      <c r="K73" s="45"/>
      <c r="L73" s="45"/>
      <c r="M73" s="45"/>
      <c r="N73" s="175" t="str">
        <f t="shared" si="1"/>
        <v/>
      </c>
      <c r="O73" s="173" t="str">
        <f t="shared" si="0"/>
        <v/>
      </c>
      <c r="P73" s="159" t="str">
        <f>IF(OR($B73="",$C$6&lt;&gt;HKI!$X$6,HKI!$Z73=""),"",HKI!$Z73)</f>
        <v/>
      </c>
      <c r="Q73" s="159" t="str">
        <f t="shared" si="2"/>
        <v/>
      </c>
    </row>
    <row r="74" spans="1:17" ht="18" customHeight="1">
      <c r="A74" s="123" t="str">
        <f>IF(OR($C$6="",$I$6="",$L$6=""),"",IF(B74="","",SUBTOTAL(3,$B$11:B74)))</f>
        <v/>
      </c>
      <c r="B74" s="151" t="str">
        <f>IF(OR($C$6="",$I$6="",$L$6=""),"",IF(HKI!$B74="","",HKI!$B74))</f>
        <v/>
      </c>
      <c r="C74" s="26" t="str">
        <f>IF(OR($C$6="",$I$6="",$L$6=""),"",IF(HKI!$C74="","",HKI!$C74))</f>
        <v/>
      </c>
      <c r="D74" s="152" t="str">
        <f>IF(OR($C$6="",$I$6="",$L$6=""),"",IF(HKI!$D74="","",HKI!$D74))</f>
        <v/>
      </c>
      <c r="E74" s="45"/>
      <c r="F74" s="45"/>
      <c r="G74" s="45"/>
      <c r="H74" s="45"/>
      <c r="I74" s="45"/>
      <c r="J74" s="45"/>
      <c r="K74" s="45"/>
      <c r="L74" s="45"/>
      <c r="M74" s="45"/>
      <c r="N74" s="175" t="str">
        <f t="shared" si="1"/>
        <v/>
      </c>
      <c r="O74" s="173" t="str">
        <f t="shared" si="0"/>
        <v/>
      </c>
      <c r="P74" s="159" t="str">
        <f>IF(OR($B74="",$C$6&lt;&gt;HKI!$X$6,HKI!$Z74=""),"",HKI!$Z74)</f>
        <v/>
      </c>
      <c r="Q74" s="159" t="str">
        <f t="shared" si="2"/>
        <v/>
      </c>
    </row>
    <row r="75" spans="1:17" ht="18" customHeight="1">
      <c r="A75" s="123" t="str">
        <f>IF(OR($C$6="",$I$6="",$L$6=""),"",IF(B75="","",SUBTOTAL(3,$B$11:B75)))</f>
        <v/>
      </c>
      <c r="B75" s="151" t="str">
        <f>IF(OR($C$6="",$I$6="",$L$6=""),"",IF(HKI!$B75="","",HKI!$B75))</f>
        <v/>
      </c>
      <c r="C75" s="26" t="str">
        <f>IF(OR($C$6="",$I$6="",$L$6=""),"",IF(HKI!$C75="","",HKI!$C75))</f>
        <v/>
      </c>
      <c r="D75" s="152" t="str">
        <f>IF(OR($C$6="",$I$6="",$L$6=""),"",IF(HKI!$D75="","",HKI!$D75))</f>
        <v/>
      </c>
      <c r="E75" s="45"/>
      <c r="F75" s="45"/>
      <c r="G75" s="45"/>
      <c r="H75" s="45"/>
      <c r="I75" s="45"/>
      <c r="J75" s="45"/>
      <c r="K75" s="45"/>
      <c r="L75" s="45"/>
      <c r="M75" s="45"/>
      <c r="N75" s="175" t="str">
        <f t="shared" si="1"/>
        <v/>
      </c>
      <c r="O75" s="173" t="str">
        <f t="shared" ref="O75:O80" si="3">IF($B75="","",IF($N75="","KXL",IF($N75&lt;4,"Kém",IF($N75&lt;5.5,"TB Yếu",IF($N75&lt;7,"T.Bình",IF($N75&lt;8.5,"Khá","Giỏi"))))))</f>
        <v/>
      </c>
      <c r="P75" s="159" t="str">
        <f>IF(OR($B75="",$C$6&lt;&gt;HKI!$X$6,HKI!$Z75=""),"",HKI!$Z75)</f>
        <v/>
      </c>
      <c r="Q75" s="159" t="str">
        <f t="shared" si="2"/>
        <v/>
      </c>
    </row>
    <row r="76" spans="1:17" ht="18" customHeight="1">
      <c r="A76" s="123" t="str">
        <f>IF(OR($C$6="",$I$6="",$L$6=""),"",IF(B76="","",SUBTOTAL(3,$B$11:B76)))</f>
        <v/>
      </c>
      <c r="B76" s="151" t="str">
        <f>IF(OR($C$6="",$I$6="",$L$6=""),"",IF(HKI!$B76="","",HKI!$B76))</f>
        <v/>
      </c>
      <c r="C76" s="26" t="str">
        <f>IF(OR($C$6="",$I$6="",$L$6=""),"",IF(HKI!$C76="","",HKI!$C76))</f>
        <v/>
      </c>
      <c r="D76" s="152" t="str">
        <f>IF(OR($C$6="",$I$6="",$L$6=""),"",IF(HKI!$D76="","",HKI!$D76))</f>
        <v/>
      </c>
      <c r="E76" s="45"/>
      <c r="F76" s="45"/>
      <c r="G76" s="45"/>
      <c r="H76" s="45"/>
      <c r="I76" s="45"/>
      <c r="J76" s="45"/>
      <c r="K76" s="45"/>
      <c r="L76" s="45"/>
      <c r="M76" s="45"/>
      <c r="N76" s="175" t="str">
        <f>IF($B76="","",IF(ISNUMBER($E76)=TRUE,$E76,IF(COUNT($F76:$M76)=0,"",IF(COUNT($F76:$K76)=0,ROUND(0.3*$L76+0.5*$M76,1),ROUND(0.2*(SUM($F76:$K76)/COUNT($F76:$K76))+0.3*$L76+0.5*$M76,1)))))</f>
        <v/>
      </c>
      <c r="O76" s="173" t="str">
        <f t="shared" si="3"/>
        <v/>
      </c>
      <c r="P76" s="159" t="str">
        <f>IF(OR($B76="",$C$6&lt;&gt;HKI!$X$6,HKI!$Z76=""),"",HKI!$Z76)</f>
        <v/>
      </c>
      <c r="Q76" s="159" t="str">
        <f>IF(OR(ISNUMBER($E76)=TRUE,$B76="",$P76=""),"",IF(COUNT($F76:$M76)=0,"",IF($M76&gt;=$P76,$N76,IF(COUNT($F76:$K76)=0,ROUND(0.3*$L76+0.5*$P76,1),ROUND(0.2*(SUM($F76:$K76)/COUNT($F76:$K76))+0.3*$L76+0.5*$P76,1)))))</f>
        <v/>
      </c>
    </row>
    <row r="77" spans="1:17" ht="18" customHeight="1">
      <c r="A77" s="123" t="str">
        <f>IF(OR($C$6="",$I$6="",$L$6=""),"",IF(B77="","",SUBTOTAL(3,$B$11:B77)))</f>
        <v/>
      </c>
      <c r="B77" s="151" t="str">
        <f>IF(OR($C$6="",$I$6="",$L$6=""),"",IF(HKI!$B77="","",HKI!$B77))</f>
        <v/>
      </c>
      <c r="C77" s="26" t="str">
        <f>IF(OR($C$6="",$I$6="",$L$6=""),"",IF(HKI!$C77="","",HKI!$C77))</f>
        <v/>
      </c>
      <c r="D77" s="152" t="str">
        <f>IF(OR($C$6="",$I$6="",$L$6=""),"",IF(HKI!$D77="","",HKI!$D77))</f>
        <v/>
      </c>
      <c r="E77" s="45"/>
      <c r="F77" s="45"/>
      <c r="G77" s="45"/>
      <c r="H77" s="45"/>
      <c r="I77" s="45"/>
      <c r="J77" s="45"/>
      <c r="K77" s="45"/>
      <c r="L77" s="45"/>
      <c r="M77" s="45"/>
      <c r="N77" s="175" t="str">
        <f>IF($B77="","",IF(ISNUMBER($E77)=TRUE,$E77,IF(COUNT($F77:$M77)=0,"",IF(COUNT($F77:$K77)=0,ROUND(0.3*$L77+0.5*$M77,1),ROUND(0.2*(SUM($F77:$K77)/COUNT($F77:$K77))+0.3*$L77+0.5*$M77,1)))))</f>
        <v/>
      </c>
      <c r="O77" s="173" t="str">
        <f t="shared" si="3"/>
        <v/>
      </c>
      <c r="P77" s="159" t="str">
        <f>IF(OR($B77="",$C$6&lt;&gt;HKI!$X$6,HKI!$Z77=""),"",HKI!$Z77)</f>
        <v/>
      </c>
      <c r="Q77" s="159" t="str">
        <f>IF(OR(ISNUMBER($E77)=TRUE,$B77="",$P77=""),"",IF(COUNT($F77:$M77)=0,"",IF($M77&gt;=$P77,$N77,IF(COUNT($F77:$K77)=0,ROUND(0.3*$L77+0.5*$P77,1),ROUND(0.2*(SUM($F77:$K77)/COUNT($F77:$K77))+0.3*$L77+0.5*$P77,1)))))</f>
        <v/>
      </c>
    </row>
    <row r="78" spans="1:17" ht="18" customHeight="1">
      <c r="A78" s="123" t="str">
        <f>IF(OR($C$6="",$I$6="",$L$6=""),"",IF(B78="","",SUBTOTAL(3,$B$11:B78)))</f>
        <v/>
      </c>
      <c r="B78" s="151" t="str">
        <f>IF(OR($C$6="",$I$6="",$L$6=""),"",IF(HKI!$B78="","",HKI!$B78))</f>
        <v/>
      </c>
      <c r="C78" s="26" t="str">
        <f>IF(OR($C$6="",$I$6="",$L$6=""),"",IF(HKI!$C78="","",HKI!$C78))</f>
        <v/>
      </c>
      <c r="D78" s="152" t="str">
        <f>IF(OR($C$6="",$I$6="",$L$6=""),"",IF(HKI!$D78="","",HKI!$D78))</f>
        <v/>
      </c>
      <c r="E78" s="45"/>
      <c r="F78" s="45"/>
      <c r="G78" s="45"/>
      <c r="H78" s="45"/>
      <c r="I78" s="45"/>
      <c r="J78" s="45"/>
      <c r="K78" s="45"/>
      <c r="L78" s="45"/>
      <c r="M78" s="45"/>
      <c r="N78" s="175" t="str">
        <f>IF($B78="","",IF(ISNUMBER($E78)=TRUE,$E78,IF(COUNT($F78:$M78)=0,"",IF(COUNT($F78:$K78)=0,ROUND(0.3*$L78+0.5*$M78,1),ROUND(0.2*(SUM($F78:$K78)/COUNT($F78:$K78))+0.3*$L78+0.5*$M78,1)))))</f>
        <v/>
      </c>
      <c r="O78" s="173" t="str">
        <f t="shared" si="3"/>
        <v/>
      </c>
      <c r="P78" s="159" t="str">
        <f>IF(OR($B78="",$C$6&lt;&gt;HKI!$X$6,HKI!$Z78=""),"",HKI!$Z78)</f>
        <v/>
      </c>
      <c r="Q78" s="159" t="str">
        <f>IF(OR(ISNUMBER($E78)=TRUE,$B78="",$P78=""),"",IF(COUNT($F78:$M78)=0,"",IF($M78&gt;=$P78,$N78,IF(COUNT($F78:$K78)=0,ROUND(0.3*$L78+0.5*$P78,1),ROUND(0.2*(SUM($F78:$K78)/COUNT($F78:$K78))+0.3*$L78+0.5*$P78,1)))))</f>
        <v/>
      </c>
    </row>
    <row r="79" spans="1:17" ht="18" customHeight="1">
      <c r="A79" s="123" t="str">
        <f>IF(OR($C$6="",$I$6="",$L$6=""),"",IF(B79="","",SUBTOTAL(3,$B$11:B79)))</f>
        <v/>
      </c>
      <c r="B79" s="151" t="str">
        <f>IF(OR($C$6="",$I$6="",$L$6=""),"",IF(HKI!$B79="","",HKI!$B79))</f>
        <v/>
      </c>
      <c r="C79" s="26" t="str">
        <f>IF(OR($C$6="",$I$6="",$L$6=""),"",IF(HKI!$C79="","",HKI!$C79))</f>
        <v/>
      </c>
      <c r="D79" s="152" t="str">
        <f>IF(OR($C$6="",$I$6="",$L$6=""),"",IF(HKI!$D79="","",HKI!$D79))</f>
        <v/>
      </c>
      <c r="E79" s="45"/>
      <c r="F79" s="45"/>
      <c r="G79" s="45"/>
      <c r="H79" s="45"/>
      <c r="I79" s="45"/>
      <c r="J79" s="45"/>
      <c r="K79" s="45"/>
      <c r="L79" s="45"/>
      <c r="M79" s="45"/>
      <c r="N79" s="175" t="str">
        <f>IF($B79="","",IF(ISNUMBER($E79)=TRUE,$E79,IF(COUNT($F79:$M79)=0,"",IF(COUNT($F79:$K79)=0,ROUND(0.3*$L79+0.5*$M79,1),ROUND(0.2*(SUM($F79:$K79)/COUNT($F79:$K79))+0.3*$L79+0.5*$M79,1)))))</f>
        <v/>
      </c>
      <c r="O79" s="173" t="str">
        <f t="shared" si="3"/>
        <v/>
      </c>
      <c r="P79" s="159" t="str">
        <f>IF(OR($B79="",$C$6&lt;&gt;HKI!$X$6,HKI!$Z79=""),"",HKI!$Z79)</f>
        <v/>
      </c>
      <c r="Q79" s="159" t="str">
        <f>IF(OR(ISNUMBER($E79)=TRUE,$B79="",$P79=""),"",IF(COUNT($F79:$M79)=0,"",IF($M79&gt;=$P79,$N79,IF(COUNT($F79:$K79)=0,ROUND(0.3*$L79+0.5*$P79,1),ROUND(0.2*(SUM($F79:$K79)/COUNT($F79:$K79))+0.3*$L79+0.5*$P79,1)))))</f>
        <v/>
      </c>
    </row>
    <row r="80" spans="1:17" ht="18" customHeight="1">
      <c r="A80" s="123" t="str">
        <f>IF(OR($C$6="",$I$6="",$L$6=""),"",IF(B80="","",SUBTOTAL(3,$B$11:B80)))</f>
        <v/>
      </c>
      <c r="B80" s="151" t="str">
        <f>IF(OR($C$6="",$I$6="",$L$6=""),"",IF(HKI!$B80="","",HKI!$B80))</f>
        <v/>
      </c>
      <c r="C80" s="26" t="str">
        <f>IF(OR($C$6="",$I$6="",$L$6=""),"",IF(HKI!$C80="","",HKI!$C80))</f>
        <v/>
      </c>
      <c r="D80" s="152" t="str">
        <f>IF(OR($C$6="",$I$6="",$L$6=""),"",IF(HKI!$D80="","",HKI!$D80))</f>
        <v/>
      </c>
      <c r="E80" s="45"/>
      <c r="F80" s="45"/>
      <c r="G80" s="45"/>
      <c r="H80" s="45"/>
      <c r="I80" s="45"/>
      <c r="J80" s="45"/>
      <c r="K80" s="45"/>
      <c r="L80" s="45"/>
      <c r="M80" s="45"/>
      <c r="N80" s="175" t="str">
        <f>IF($B80="","",IF(ISNUMBER($E80)=TRUE,$E80,IF(COUNT($F80:$M80)=0,"",IF(COUNT($F80:$K80)=0,ROUND(0.3*$L80+0.5*$M80,1),ROUND(0.2*(SUM($F80:$K80)/COUNT($F80:$K80))+0.3*$L80+0.5*$M80,1)))))</f>
        <v/>
      </c>
      <c r="O80" s="173" t="str">
        <f t="shared" si="3"/>
        <v/>
      </c>
      <c r="P80" s="159" t="str">
        <f>IF(OR($B80="",$C$6&lt;&gt;HKI!$X$6,HKI!$Z80=""),"",HKI!$Z80)</f>
        <v/>
      </c>
      <c r="Q80" s="159" t="str">
        <f>IF(OR(ISNUMBER($E80)=TRUE,$B80="",$P80=""),"",IF(COUNT($F80:$M80)=0,"",IF($M80&gt;=$P80,$N80,IF(COUNT($F80:$K80)=0,ROUND(0.3*$L80+0.5*$P80,1),ROUND(0.2*(SUM($F80:$K80)/COUNT($F80:$K80))+0.3*$L80+0.5*$P80,1)))))</f>
        <v/>
      </c>
    </row>
    <row r="81" spans="1:17" s="146" customFormat="1" ht="16.5" customHeight="1">
      <c r="A81" s="653" t="s">
        <v>1459</v>
      </c>
      <c r="B81" s="653"/>
      <c r="C81" s="653"/>
      <c r="D81" s="653"/>
      <c r="E81" s="653"/>
      <c r="F81" s="653"/>
      <c r="G81" s="653"/>
      <c r="H81" s="653"/>
      <c r="I81" s="653"/>
      <c r="J81" s="653"/>
      <c r="K81" s="653"/>
      <c r="L81" s="653"/>
      <c r="M81" s="653"/>
      <c r="N81" s="163"/>
      <c r="O81" s="56"/>
      <c r="P81" s="56"/>
    </row>
    <row r="82" spans="1:17" s="146" customFormat="1">
      <c r="A82" s="136"/>
      <c r="B82" s="651" t="str">
        <f>"Tổng danh sách có"</f>
        <v>Tổng danh sách có</v>
      </c>
      <c r="C82" s="651"/>
      <c r="D82" s="651"/>
      <c r="E82" s="651"/>
      <c r="F82" s="176" t="str">
        <f>": "&amp;MAX($A$11:$A$80)&amp;" SV"</f>
        <v>: 50 SV</v>
      </c>
      <c r="K82" s="147"/>
      <c r="L82" s="147"/>
      <c r="M82" s="147"/>
      <c r="N82" s="147"/>
      <c r="O82" s="147"/>
      <c r="P82" s="56"/>
      <c r="Q82" s="56"/>
    </row>
    <row r="83" spans="1:17" s="146" customFormat="1">
      <c r="A83" s="148"/>
      <c r="B83" s="643" t="str">
        <f>"Tổng số SV có điểm Giỏi từ 8,5 đ đến 10 đ"</f>
        <v>Tổng số SV có điểm Giỏi từ 8,5 đ đến 10 đ</v>
      </c>
      <c r="C83" s="643"/>
      <c r="D83" s="643"/>
      <c r="E83" s="643"/>
      <c r="F83" s="153" t="str">
        <f>": "&amp;COUNTIF($O$11:$O$80,"Giỏi")&amp;" SV"</f>
        <v>: 0 SV</v>
      </c>
      <c r="H83" s="153" t="str">
        <f>IF(B21="","","("&amp;ROUND(COUNTIF($O$11:$O$80,"Giỏi")*100/MAX($A$11:$A$75),2)&amp;"%" &amp;")")</f>
        <v>(0%)</v>
      </c>
      <c r="I83" s="153"/>
      <c r="J83" s="153"/>
      <c r="K83" s="645" t="str">
        <f>IF(B11="","","Tổng số SV có điểm &gt;= 4 đ : "&amp;COUNTIF(N11:N80,"&gt;=4")&amp;" SV"&amp;" ("&amp;ROUND(COUNTIF(N11:N80,"&gt;=4")*100/MAX($A$11:$A$80),2)&amp;"%" &amp;")")</f>
        <v>Tổng số SV có điểm &gt;= 4 đ : 26 SV (52%)</v>
      </c>
      <c r="L83" s="645"/>
      <c r="M83" s="645"/>
      <c r="N83" s="645"/>
      <c r="O83" s="127"/>
      <c r="P83" s="56"/>
      <c r="Q83" s="56"/>
    </row>
    <row r="84" spans="1:17" s="146" customFormat="1">
      <c r="A84" s="148"/>
      <c r="B84" s="643" t="str">
        <f>"Tổng số SV có điểm Khá từ 7 đ đến &lt;8,5 đ"</f>
        <v>Tổng số SV có điểm Khá từ 7 đ đến &lt;8,5 đ</v>
      </c>
      <c r="C84" s="643"/>
      <c r="D84" s="643"/>
      <c r="E84" s="643"/>
      <c r="F84" s="153" t="str">
        <f>": "&amp;COUNTIF($O$11:$O$80,"Khá")&amp;" SV"</f>
        <v>: 1 SV</v>
      </c>
      <c r="H84" s="153" t="str">
        <f>IF(B21="","","("&amp;ROUND(COUNTIF($O$11:$O$80,"Khá")*100/MAX($A$11:$A$75),2)&amp;"%" &amp;")")</f>
        <v>(2%)</v>
      </c>
      <c r="I84" s="153"/>
      <c r="J84" s="153"/>
      <c r="K84" s="645"/>
      <c r="L84" s="645"/>
      <c r="M84" s="645"/>
      <c r="N84" s="645"/>
      <c r="O84" s="127"/>
      <c r="P84" s="56"/>
      <c r="Q84" s="56"/>
    </row>
    <row r="85" spans="1:17" s="146" customFormat="1">
      <c r="A85" s="148"/>
      <c r="B85" s="643" t="str">
        <f>"Tổng số SV có điểm Trung bình từ 5,5 đ đến &lt;7 đ"</f>
        <v>Tổng số SV có điểm Trung bình từ 5,5 đ đến &lt;7 đ</v>
      </c>
      <c r="C85" s="643"/>
      <c r="D85" s="643"/>
      <c r="E85" s="643"/>
      <c r="F85" s="153" t="str">
        <f>": "&amp;COUNTIF($O$11:$O$80,"T.Bình")&amp;" SV"</f>
        <v>: 7 SV</v>
      </c>
      <c r="H85" s="153" t="str">
        <f>IF(B21="","","("&amp;ROUND(COUNTIF($O$11:$O$80,"TB")*100/MAX($A$11:$A$75),2)&amp;"%" &amp;")")</f>
        <v>(0%)</v>
      </c>
      <c r="I85" s="153"/>
      <c r="J85" s="153"/>
      <c r="K85" s="645"/>
      <c r="L85" s="645"/>
      <c r="M85" s="645"/>
      <c r="N85" s="645"/>
      <c r="O85" s="127"/>
      <c r="P85" s="56"/>
      <c r="Q85" s="56"/>
    </row>
    <row r="86" spans="1:17" s="146" customFormat="1" ht="12.75" customHeight="1">
      <c r="A86" s="148"/>
      <c r="B86" s="643" t="str">
        <f>"Tổng số SV có điểm Trung bình yếu từ 4 đ đến &lt;5,5 đ"</f>
        <v>Tổng số SV có điểm Trung bình yếu từ 4 đ đến &lt;5,5 đ</v>
      </c>
      <c r="C86" s="643"/>
      <c r="D86" s="643"/>
      <c r="E86" s="643"/>
      <c r="F86" s="153" t="str">
        <f>": "&amp;COUNTIF($O$11:$O$80,"TB Yếu")&amp;" SV"</f>
        <v>: 18 SV</v>
      </c>
      <c r="H86" s="153" t="str">
        <f>IF(B21="","","("&amp;ROUND(COUNTIF($O$11:$O$80,"TBY")*100/MAX($A$11:$A$75),2)&amp;"%" &amp;")")</f>
        <v>(0%)</v>
      </c>
      <c r="I86" s="153"/>
      <c r="J86" s="153"/>
      <c r="K86" s="644" t="str">
        <f>IF(B11="","","Tổng số SV có điểm &lt; 4 đ : "&amp;COUNTIF(N11:N80,"&lt;4")&amp;" SV"&amp;" ("&amp;ROUND(COUNTIF(N11:N80,"&lt;4")*100/MAX($A$11:$A$80),2)&amp;"%" &amp;")")</f>
        <v>Tổng số SV có điểm &lt; 4 đ : 24 SV (48%)</v>
      </c>
      <c r="L86" s="644"/>
      <c r="M86" s="644"/>
      <c r="N86" s="644"/>
      <c r="O86" s="161"/>
      <c r="P86" s="56"/>
      <c r="Q86" s="56"/>
    </row>
    <row r="87" spans="1:17" s="146" customFormat="1">
      <c r="A87" s="148"/>
      <c r="B87" s="643" t="str">
        <f>"Tổng số SV có điểm kém &lt;4 đ"</f>
        <v>Tổng số SV có điểm kém &lt;4 đ</v>
      </c>
      <c r="C87" s="643"/>
      <c r="D87" s="643"/>
      <c r="E87" s="643"/>
      <c r="F87" s="153" t="str">
        <f>": "&amp;COUNTIF($O$11:$O$80,"Kém")&amp;" SV"</f>
        <v>: 24 SV</v>
      </c>
      <c r="H87" s="153" t="str">
        <f>IF(B21="","","("&amp;ROUND(COUNTIF($O$11:$O$80,"Kém")*100/MAX($A$11:$A$75),2)&amp;"%"&amp;")")</f>
        <v>(48%)</v>
      </c>
      <c r="I87" s="153"/>
      <c r="J87" s="153"/>
      <c r="K87" s="644"/>
      <c r="L87" s="644"/>
      <c r="M87" s="644"/>
      <c r="N87" s="644"/>
      <c r="O87" s="161"/>
      <c r="P87" s="56"/>
      <c r="Q87" s="56"/>
    </row>
    <row r="88" spans="1:17" s="146" customFormat="1" ht="12.75" customHeight="1">
      <c r="A88" s="148"/>
      <c r="B88" s="643" t="str">
        <f>"Tổng số SV không xếp loại vì chưa đủ điều kiện"</f>
        <v>Tổng số SV không xếp loại vì chưa đủ điều kiện</v>
      </c>
      <c r="C88" s="643"/>
      <c r="D88" s="643"/>
      <c r="E88" s="643"/>
      <c r="F88" s="153" t="str">
        <f>": "&amp;COUNTIF($O$11:$O$80,"KXL")&amp;" SV"</f>
        <v>: 0 SV</v>
      </c>
      <c r="H88" s="153" t="str">
        <f>IF(B21="","","("&amp;ROUND(COUNTIF($O$11:$O$80,"KXL")*100/MAX($A$11:$A$75),2)&amp;"%"&amp;")")</f>
        <v>(0%)</v>
      </c>
      <c r="I88" s="153"/>
      <c r="J88" s="153"/>
      <c r="K88" s="644"/>
      <c r="L88" s="644"/>
      <c r="M88" s="644"/>
      <c r="N88" s="644"/>
      <c r="O88" s="161"/>
      <c r="P88" s="56"/>
      <c r="Q88" s="56"/>
    </row>
    <row r="89" spans="1:17" ht="15.75">
      <c r="B89" s="149"/>
      <c r="C89" s="149"/>
      <c r="D89" s="149"/>
      <c r="E89" s="149"/>
      <c r="F89" s="149"/>
      <c r="G89" s="149"/>
      <c r="H89" s="149"/>
      <c r="I89" s="149"/>
      <c r="J89" s="149"/>
      <c r="K89" s="149"/>
      <c r="L89" s="149"/>
      <c r="M89" s="149"/>
      <c r="N89" s="149"/>
    </row>
    <row r="90" spans="1:17" ht="15.75" customHeight="1">
      <c r="A90" s="636" t="s">
        <v>190</v>
      </c>
      <c r="B90" s="636"/>
      <c r="C90" s="636"/>
      <c r="E90" s="162" t="s">
        <v>1460</v>
      </c>
      <c r="F90" s="162"/>
      <c r="G90" s="162"/>
      <c r="H90" s="138"/>
      <c r="I90" s="138"/>
      <c r="J90" s="179" t="s">
        <v>257</v>
      </c>
      <c r="K90" s="162"/>
      <c r="L90" s="162"/>
      <c r="M90" s="162"/>
      <c r="N90" s="162"/>
      <c r="O90" s="162"/>
    </row>
  </sheetData>
  <sheetProtection sheet="1" formatCells="0" formatColumns="0" formatRows="0" autoFilter="0"/>
  <dataConsolidate/>
  <mergeCells count="42">
    <mergeCell ref="A1:F1"/>
    <mergeCell ref="A3:F3"/>
    <mergeCell ref="A5:L5"/>
    <mergeCell ref="G6:H6"/>
    <mergeCell ref="C6:F6"/>
    <mergeCell ref="H1:N1"/>
    <mergeCell ref="A2:F2"/>
    <mergeCell ref="H2:N2"/>
    <mergeCell ref="L6:M6"/>
    <mergeCell ref="A4:N4"/>
    <mergeCell ref="A6:B6"/>
    <mergeCell ref="Q8:Q10"/>
    <mergeCell ref="B85:E85"/>
    <mergeCell ref="B83:E83"/>
    <mergeCell ref="B84:E84"/>
    <mergeCell ref="B82:E82"/>
    <mergeCell ref="A81:M81"/>
    <mergeCell ref="N8:N10"/>
    <mergeCell ref="O8:O10"/>
    <mergeCell ref="P8:P9"/>
    <mergeCell ref="A8:A10"/>
    <mergeCell ref="B8:B10"/>
    <mergeCell ref="M8:M9"/>
    <mergeCell ref="D7:E7"/>
    <mergeCell ref="J7:L7"/>
    <mergeCell ref="H7:I7"/>
    <mergeCell ref="L8:L9"/>
    <mergeCell ref="F8:F9"/>
    <mergeCell ref="G8:G9"/>
    <mergeCell ref="C8:D10"/>
    <mergeCell ref="E8:E10"/>
    <mergeCell ref="F10:K10"/>
    <mergeCell ref="H8:H9"/>
    <mergeCell ref="I8:I9"/>
    <mergeCell ref="J8:J9"/>
    <mergeCell ref="K8:K9"/>
    <mergeCell ref="B88:E88"/>
    <mergeCell ref="K83:N85"/>
    <mergeCell ref="A90:C90"/>
    <mergeCell ref="B86:E86"/>
    <mergeCell ref="K86:N88"/>
    <mergeCell ref="B87:E87"/>
  </mergeCells>
  <phoneticPr fontId="11" type="noConversion"/>
  <conditionalFormatting sqref="N11:N80">
    <cfRule type="cellIs" dxfId="6" priority="1" stopIfTrue="1" operator="lessThan">
      <formula>4</formula>
    </cfRule>
  </conditionalFormatting>
  <dataValidations count="3">
    <dataValidation type="decimal" allowBlank="1" showInputMessage="1" showErrorMessage="1" errorTitle="Nhap sai" error="Hãy nhập lại_x000a_0 ≤ Điểm ≤ 10" sqref="M11:M80">
      <formula1>0</formula1>
      <formula2>10</formula2>
    </dataValidation>
    <dataValidation type="whole" allowBlank="1" showInputMessage="1" showErrorMessage="1" errorTitle="Nhap sai" error="Hãy nhập lại_x000a_0 ≤ Điểm ≤ 10" sqref="H11:K55 F78:L80 H56:I67 L11:L67 K71:L77 F68:L70 F11:G67 F71:I77 K56:K67">
      <formula1>0</formula1>
      <formula2>10</formula2>
    </dataValidation>
    <dataValidation type="decimal" allowBlank="1" showInputMessage="1" showErrorMessage="1" sqref="J56:J67 J71:J77">
      <formula1>0</formula1>
      <formula2>10</formula2>
    </dataValidation>
  </dataValidations>
  <printOptions horizontalCentered="1"/>
  <pageMargins left="0.5" right="0" top="0.25" bottom="0.25" header="0.25" footer="0.25"/>
  <pageSetup paperSize="9" scale="90" orientation="portrait" horizontalDpi="1200" verticalDpi="120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Q90"/>
  <sheetViews>
    <sheetView workbookViewId="0">
      <selection activeCell="E11" sqref="E11"/>
    </sheetView>
  </sheetViews>
  <sheetFormatPr defaultRowHeight="12.75"/>
  <cols>
    <col min="1" max="1" width="3.85546875" style="136" bestFit="1" customWidth="1"/>
    <col min="2" max="2" width="11.85546875" style="136" customWidth="1"/>
    <col min="3" max="3" width="18.85546875" style="136" bestFit="1" customWidth="1"/>
    <col min="4" max="4" width="8.140625" style="136" customWidth="1"/>
    <col min="5" max="12" width="6.42578125" style="136" customWidth="1"/>
    <col min="13" max="13" width="8.140625" style="136" customWidth="1"/>
    <col min="14" max="14" width="7.42578125" style="136" customWidth="1"/>
    <col min="15" max="15" width="7.7109375" style="136" hidden="1" customWidth="1"/>
    <col min="16" max="17" width="6.5703125" style="136" hidden="1" customWidth="1"/>
    <col min="18" max="16384" width="9.140625" style="136"/>
  </cols>
  <sheetData>
    <row r="1" spans="1:17" ht="15.75">
      <c r="A1" s="633" t="s">
        <v>2695</v>
      </c>
      <c r="B1" s="633"/>
      <c r="C1" s="633"/>
      <c r="D1" s="633"/>
      <c r="E1" s="633"/>
      <c r="F1" s="633"/>
      <c r="G1" s="140"/>
      <c r="H1" s="632" t="s">
        <v>249</v>
      </c>
      <c r="I1" s="632"/>
      <c r="J1" s="632"/>
      <c r="K1" s="632"/>
      <c r="L1" s="632"/>
      <c r="M1" s="632"/>
      <c r="N1" s="632"/>
      <c r="O1" s="155"/>
    </row>
    <row r="2" spans="1:17" ht="29.25" customHeight="1">
      <c r="A2" s="631" t="s">
        <v>2687</v>
      </c>
      <c r="B2" s="632"/>
      <c r="C2" s="632"/>
      <c r="D2" s="632"/>
      <c r="E2" s="632"/>
      <c r="F2" s="632"/>
      <c r="G2" s="157"/>
      <c r="H2" s="638" t="s">
        <v>250</v>
      </c>
      <c r="I2" s="638"/>
      <c r="J2" s="638"/>
      <c r="K2" s="638"/>
      <c r="L2" s="638"/>
      <c r="M2" s="638"/>
      <c r="N2" s="638"/>
      <c r="O2" s="155"/>
    </row>
    <row r="3" spans="1:17" ht="19.5" customHeight="1">
      <c r="A3" s="633"/>
      <c r="B3" s="633"/>
      <c r="C3" s="633"/>
      <c r="D3" s="633"/>
      <c r="E3" s="633"/>
      <c r="F3" s="633"/>
      <c r="I3" s="181"/>
      <c r="J3" s="137"/>
      <c r="K3" s="147"/>
      <c r="L3" s="147"/>
      <c r="M3" s="147"/>
      <c r="N3" s="147"/>
      <c r="O3" s="147"/>
      <c r="P3" s="147"/>
    </row>
    <row r="4" spans="1:17" ht="23.25" customHeight="1">
      <c r="A4" s="635" t="s">
        <v>251</v>
      </c>
      <c r="B4" s="635"/>
      <c r="C4" s="635"/>
      <c r="D4" s="635"/>
      <c r="E4" s="635"/>
      <c r="F4" s="635"/>
      <c r="G4" s="635"/>
      <c r="H4" s="635"/>
      <c r="I4" s="635"/>
      <c r="J4" s="635"/>
      <c r="K4" s="635"/>
      <c r="L4" s="635"/>
      <c r="M4" s="635"/>
      <c r="N4" s="635"/>
    </row>
    <row r="5" spans="1:17" ht="9.75" customHeight="1">
      <c r="A5" s="635"/>
      <c r="B5" s="635"/>
      <c r="C5" s="635"/>
      <c r="D5" s="635"/>
      <c r="E5" s="635"/>
      <c r="F5" s="635"/>
      <c r="G5" s="635"/>
      <c r="H5" s="635"/>
      <c r="I5" s="635"/>
      <c r="J5" s="635"/>
      <c r="K5" s="635"/>
      <c r="L5" s="635"/>
    </row>
    <row r="6" spans="1:17" s="139" customFormat="1" ht="17.25" customHeight="1">
      <c r="A6" s="656" t="s">
        <v>252</v>
      </c>
      <c r="B6" s="656"/>
      <c r="C6" s="637" t="str">
        <f>IF(L6="","",IF(VLOOKUP(L6,'LOP-MON'!$B$2:$N$43,7,FALSE)=0,"",VLOOKUP(L6,'LOP-MON'!$B$2:$N$43,7,FALSE)))</f>
        <v/>
      </c>
      <c r="D6" s="637"/>
      <c r="E6" s="637"/>
      <c r="F6" s="637"/>
      <c r="G6" s="636" t="s">
        <v>271</v>
      </c>
      <c r="H6" s="636"/>
      <c r="I6" s="183" t="str">
        <f>IF(L6="","",IF(VLOOKUP(CONCATENATE("TC",MID(L6,1,4),MID(L6,6,3)),'LOP-MON'!$B$2:$N$43,7,FALSE)=0,"",VLOOKUP(CONCATENATE("TC",MID(L6,1,4),MID(L6,6,3)),'LOP-MON'!$B$2:$N$43,7,FALSE)))</f>
        <v/>
      </c>
      <c r="K6" s="19" t="s">
        <v>187</v>
      </c>
      <c r="L6" s="637" t="str">
        <f>HKI!$D$3</f>
        <v>13CĐ-Đ1</v>
      </c>
      <c r="M6" s="637"/>
    </row>
    <row r="7" spans="1:17" s="140" customFormat="1" ht="17.25" customHeight="1">
      <c r="C7" s="100" t="s">
        <v>253</v>
      </c>
      <c r="D7" s="634" t="s">
        <v>2693</v>
      </c>
      <c r="E7" s="634"/>
      <c r="G7" s="172"/>
      <c r="H7" s="634" t="s">
        <v>254</v>
      </c>
      <c r="I7" s="634"/>
      <c r="J7" s="634" t="s">
        <v>2694</v>
      </c>
      <c r="K7" s="634"/>
      <c r="L7" s="634"/>
      <c r="N7" s="19"/>
      <c r="O7" s="19"/>
    </row>
    <row r="8" spans="1:17" s="139" customFormat="1" ht="15" customHeight="1">
      <c r="A8" s="646" t="s">
        <v>255</v>
      </c>
      <c r="B8" s="646" t="s">
        <v>188</v>
      </c>
      <c r="C8" s="646" t="s">
        <v>189</v>
      </c>
      <c r="D8" s="646"/>
      <c r="E8" s="646" t="s">
        <v>259</v>
      </c>
      <c r="F8" s="640" t="s">
        <v>261</v>
      </c>
      <c r="G8" s="640" t="s">
        <v>262</v>
      </c>
      <c r="H8" s="640" t="s">
        <v>263</v>
      </c>
      <c r="I8" s="640" t="s">
        <v>264</v>
      </c>
      <c r="J8" s="640" t="s">
        <v>265</v>
      </c>
      <c r="K8" s="640" t="s">
        <v>266</v>
      </c>
      <c r="L8" s="640" t="s">
        <v>267</v>
      </c>
      <c r="M8" s="640" t="s">
        <v>268</v>
      </c>
      <c r="N8" s="640" t="s">
        <v>260</v>
      </c>
      <c r="O8" s="641" t="s">
        <v>258</v>
      </c>
      <c r="P8" s="641" t="s">
        <v>269</v>
      </c>
      <c r="Q8" s="641" t="s">
        <v>270</v>
      </c>
    </row>
    <row r="9" spans="1:17" s="24" customFormat="1" ht="28.5" customHeight="1">
      <c r="A9" s="646"/>
      <c r="B9" s="646"/>
      <c r="C9" s="646"/>
      <c r="D9" s="646"/>
      <c r="E9" s="646"/>
      <c r="F9" s="640"/>
      <c r="G9" s="640"/>
      <c r="H9" s="640"/>
      <c r="I9" s="640"/>
      <c r="J9" s="640"/>
      <c r="K9" s="640"/>
      <c r="L9" s="640"/>
      <c r="M9" s="640"/>
      <c r="N9" s="640"/>
      <c r="O9" s="641"/>
      <c r="P9" s="641"/>
      <c r="Q9" s="641"/>
    </row>
    <row r="10" spans="1:17" s="24" customFormat="1" ht="15.75">
      <c r="A10" s="646"/>
      <c r="B10" s="646"/>
      <c r="C10" s="646"/>
      <c r="D10" s="646"/>
      <c r="E10" s="646"/>
      <c r="F10" s="648">
        <v>0.2</v>
      </c>
      <c r="G10" s="640"/>
      <c r="H10" s="640"/>
      <c r="I10" s="640"/>
      <c r="J10" s="640"/>
      <c r="K10" s="640"/>
      <c r="L10" s="6">
        <v>0.3</v>
      </c>
      <c r="M10" s="6">
        <v>0.5</v>
      </c>
      <c r="N10" s="640"/>
      <c r="O10" s="641"/>
      <c r="P10" s="164">
        <v>0.5</v>
      </c>
      <c r="Q10" s="641"/>
    </row>
    <row r="11" spans="1:17" ht="18" customHeight="1">
      <c r="A11" s="123" t="str">
        <f>IF(OR($C$6="",$I$6="",$L$6=""),"",IF($B11="","",SUBTOTAL(3,$B$11:B11)))</f>
        <v/>
      </c>
      <c r="B11" s="151" t="str">
        <f>IF(OR($C$6="",$I$6="",$L$6=""),"",IF(HKI!$B11="","",HKI!$B11))</f>
        <v/>
      </c>
      <c r="C11" s="26" t="str">
        <f>IF(OR($C$6="",$I$6="",$L$6=""),"",IF(HKI!$C11="","",HKI!$C11))</f>
        <v/>
      </c>
      <c r="D11" s="27" t="str">
        <f>IF(OR($C$6="",$I$6="",$L$6=""),"",IF(HKI!$D11="","",HKI!$D11))</f>
        <v/>
      </c>
      <c r="E11" s="143"/>
      <c r="F11" s="184"/>
      <c r="G11" s="184"/>
      <c r="H11" s="184"/>
      <c r="I11" s="184"/>
      <c r="J11" s="184"/>
      <c r="K11" s="184"/>
      <c r="L11" s="184"/>
      <c r="M11" s="184"/>
      <c r="N11" s="142" t="str">
        <f>IF($B11="","",IF(ISNUMBER($E11)=TRUE,$E11,IF(COUNT($F11:$M11)=0,"",IF(COUNT($F11:$K11)=0,ROUND(0.3*$L11+0.5*$M11,1),ROUND(0.2*(SUM($F11:$K11)/COUNT($F11:$K11))+0.3*$L11+0.5*$M11,1)))))</f>
        <v/>
      </c>
      <c r="O11" s="173" t="str">
        <f t="shared" ref="O11:O74" si="0">IF($B11="","",IF($N11="","KXL",IF($N11&lt;4,"Kém",IF($N11&lt;5.5,"TB Yếu",IF($N11&lt;7,"T.Bình",IF($N11&lt;8.5,"Khá","Giỏi"))))))</f>
        <v/>
      </c>
      <c r="P11" s="174" t="str">
        <f>IF(OR($B11="",$C$6&lt;&gt;HKI!$AB$6,HKI!$AD11=""),"",HKI!$AD11)</f>
        <v/>
      </c>
      <c r="Q11" s="174" t="str">
        <f>IF(OR(ISNUMBER($E11)=TRUE,$B11="",$P11=""),"",IF(COUNT($F11:$M11)=0,"",IF($M11&gt;=$P11,$N11,IF(COUNT($F11:$K11)=0,ROUND(0.3*$L11+0.5*$P11,1),ROUND(0.2*(SUM($F11:$K11)/COUNT($F11:$K11))+0.3*$L11+0.5*$P11,1)))))</f>
        <v/>
      </c>
    </row>
    <row r="12" spans="1:17" ht="18" customHeight="1">
      <c r="A12" s="123" t="str">
        <f>IF(OR($C$6="",$I$6="",$L$6=""),"",IF($B12="","",SUBTOTAL(3,$B$11:B12)))</f>
        <v/>
      </c>
      <c r="B12" s="151" t="str">
        <f>IF(OR($C$6="",$I$6="",$L$6=""),"",IF(HKI!$B12="","",HKI!$B12))</f>
        <v/>
      </c>
      <c r="C12" s="26" t="str">
        <f>IF(OR($C$6="",$I$6="",$L$6=""),"",IF(HKI!$C12="","",HKI!$C12))</f>
        <v/>
      </c>
      <c r="D12" s="27" t="str">
        <f>IF(OR($C$6="",$I$6="",$L$6=""),"",IF(HKI!$D12="","",HKI!$D12))</f>
        <v/>
      </c>
      <c r="E12" s="143"/>
      <c r="F12" s="45"/>
      <c r="G12" s="45"/>
      <c r="H12" s="45"/>
      <c r="I12" s="45"/>
      <c r="J12" s="45"/>
      <c r="K12" s="45"/>
      <c r="L12" s="45"/>
      <c r="M12" s="45"/>
      <c r="N12" s="142" t="str">
        <f t="shared" ref="N12:N75" si="1">IF($B12="","",IF(ISNUMBER($E12)=TRUE,$E12,IF(COUNT($F12:$M12)=0,"",IF(COUNT($F12:$K12)=0,ROUND(0.3*$L12+0.5*$M12,1),ROUND(0.2*(SUM($F12:$K12)/COUNT($F12:$K12))+0.3*$L12+0.5*$M12,1)))))</f>
        <v/>
      </c>
      <c r="O12" s="173" t="str">
        <f t="shared" si="0"/>
        <v/>
      </c>
      <c r="P12" s="174" t="str">
        <f>IF(OR($B12="",$C$6&lt;&gt;HKI!$AB$6,HKI!$AD12=""),"",HKI!$AD12)</f>
        <v/>
      </c>
      <c r="Q12" s="174" t="str">
        <f t="shared" ref="Q12:Q75" si="2">IF(OR(ISNUMBER($E12)=TRUE,$B12="",$P12=""),"",IF(COUNT($F12:$M12)=0,"",IF($M12&gt;=$P12,$N12,IF(COUNT($F12:$K12)=0,ROUND(0.3*$L12+0.5*$P12,1),ROUND(0.2*(SUM($F12:$K12)/COUNT($F12:$K12))+0.3*$L12+0.5*$P12,1)))))</f>
        <v/>
      </c>
    </row>
    <row r="13" spans="1:17" ht="18" customHeight="1">
      <c r="A13" s="123" t="str">
        <f>IF(OR($C$6="",$I$6="",$L$6=""),"",IF($B13="","",SUBTOTAL(3,$B$11:B13)))</f>
        <v/>
      </c>
      <c r="B13" s="151" t="str">
        <f>IF(OR($C$6="",$I$6="",$L$6=""),"",IF(HKI!$B13="","",HKI!$B13))</f>
        <v/>
      </c>
      <c r="C13" s="26" t="str">
        <f>IF(OR($C$6="",$I$6="",$L$6=""),"",IF(HKI!$C13="","",HKI!$C13))</f>
        <v/>
      </c>
      <c r="D13" s="27" t="str">
        <f>IF(OR($C$6="",$I$6="",$L$6=""),"",IF(HKI!$D13="","",HKI!$D13))</f>
        <v/>
      </c>
      <c r="E13" s="143"/>
      <c r="F13" s="45"/>
      <c r="G13" s="45"/>
      <c r="H13" s="45"/>
      <c r="I13" s="45"/>
      <c r="J13" s="45"/>
      <c r="K13" s="45"/>
      <c r="L13" s="45"/>
      <c r="M13" s="45"/>
      <c r="N13" s="142" t="str">
        <f t="shared" si="1"/>
        <v/>
      </c>
      <c r="O13" s="173" t="str">
        <f t="shared" si="0"/>
        <v/>
      </c>
      <c r="P13" s="174" t="str">
        <f>IF(OR($B13="",$C$6&lt;&gt;HKI!$AB$6,HKI!$AD13=""),"",HKI!$AD13)</f>
        <v/>
      </c>
      <c r="Q13" s="174" t="str">
        <f t="shared" si="2"/>
        <v/>
      </c>
    </row>
    <row r="14" spans="1:17" ht="18" customHeight="1">
      <c r="A14" s="123" t="str">
        <f>IF(OR($C$6="",$I$6="",$L$6=""),"",IF($B14="","",SUBTOTAL(3,$B$11:B14)))</f>
        <v/>
      </c>
      <c r="B14" s="151" t="str">
        <f>IF(OR($C$6="",$I$6="",$L$6=""),"",IF(HKI!$B14="","",HKI!$B14))</f>
        <v/>
      </c>
      <c r="C14" s="26" t="str">
        <f>IF(OR($C$6="",$I$6="",$L$6=""),"",IF(HKI!$C14="","",HKI!$C14))</f>
        <v/>
      </c>
      <c r="D14" s="27" t="str">
        <f>IF(OR($C$6="",$I$6="",$L$6=""),"",IF(HKI!$D14="","",HKI!$D14))</f>
        <v/>
      </c>
      <c r="E14" s="143"/>
      <c r="F14" s="45"/>
      <c r="G14" s="45"/>
      <c r="H14" s="45"/>
      <c r="I14" s="45"/>
      <c r="J14" s="45"/>
      <c r="K14" s="45"/>
      <c r="L14" s="45"/>
      <c r="M14" s="45"/>
      <c r="N14" s="142" t="str">
        <f t="shared" si="1"/>
        <v/>
      </c>
      <c r="O14" s="173" t="str">
        <f t="shared" si="0"/>
        <v/>
      </c>
      <c r="P14" s="174" t="str">
        <f>IF(OR($B14="",$C$6&lt;&gt;HKI!$AB$6,HKI!$AD14=""),"",HKI!$AD14)</f>
        <v/>
      </c>
      <c r="Q14" s="174" t="str">
        <f t="shared" si="2"/>
        <v/>
      </c>
    </row>
    <row r="15" spans="1:17" ht="18" customHeight="1">
      <c r="A15" s="123" t="str">
        <f>IF(OR($C$6="",$I$6="",$L$6=""),"",IF($B15="","",SUBTOTAL(3,$B$11:B15)))</f>
        <v/>
      </c>
      <c r="B15" s="151" t="str">
        <f>IF(OR($C$6="",$I$6="",$L$6=""),"",IF(HKI!$B15="","",HKI!$B15))</f>
        <v/>
      </c>
      <c r="C15" s="26" t="str">
        <f>IF(OR($C$6="",$I$6="",$L$6=""),"",IF(HKI!$C15="","",HKI!$C15))</f>
        <v/>
      </c>
      <c r="D15" s="27" t="str">
        <f>IF(OR($C$6="",$I$6="",$L$6=""),"",IF(HKI!$D15="","",HKI!$D15))</f>
        <v/>
      </c>
      <c r="E15" s="143"/>
      <c r="F15" s="45"/>
      <c r="G15" s="45"/>
      <c r="H15" s="45"/>
      <c r="I15" s="45"/>
      <c r="J15" s="45"/>
      <c r="K15" s="45"/>
      <c r="L15" s="45"/>
      <c r="M15" s="45"/>
      <c r="N15" s="142" t="str">
        <f t="shared" si="1"/>
        <v/>
      </c>
      <c r="O15" s="173" t="str">
        <f t="shared" si="0"/>
        <v/>
      </c>
      <c r="P15" s="174" t="str">
        <f>IF(OR($B15="",$C$6&lt;&gt;HKI!$AB$6,HKI!$AD15=""),"",HKI!$AD15)</f>
        <v/>
      </c>
      <c r="Q15" s="174" t="str">
        <f t="shared" si="2"/>
        <v/>
      </c>
    </row>
    <row r="16" spans="1:17" ht="18" customHeight="1">
      <c r="A16" s="123" t="str">
        <f>IF(OR($C$6="",$I$6="",$L$6=""),"",IF($B16="","",SUBTOTAL(3,$B$11:B16)))</f>
        <v/>
      </c>
      <c r="B16" s="151" t="str">
        <f>IF(OR($C$6="",$I$6="",$L$6=""),"",IF(HKI!$B16="","",HKI!$B16))</f>
        <v/>
      </c>
      <c r="C16" s="26" t="str">
        <f>IF(OR($C$6="",$I$6="",$L$6=""),"",IF(HKI!$C16="","",HKI!$C16))</f>
        <v/>
      </c>
      <c r="D16" s="27" t="str">
        <f>IF(OR($C$6="",$I$6="",$L$6=""),"",IF(HKI!$D16="","",HKI!$D16))</f>
        <v/>
      </c>
      <c r="E16" s="143"/>
      <c r="F16" s="45"/>
      <c r="G16" s="45"/>
      <c r="H16" s="45"/>
      <c r="I16" s="45"/>
      <c r="J16" s="45"/>
      <c r="K16" s="45"/>
      <c r="L16" s="45"/>
      <c r="M16" s="45"/>
      <c r="N16" s="142" t="str">
        <f t="shared" si="1"/>
        <v/>
      </c>
      <c r="O16" s="173" t="str">
        <f t="shared" si="0"/>
        <v/>
      </c>
      <c r="P16" s="174" t="str">
        <f>IF(OR($B16="",$C$6&lt;&gt;HKI!$AB$6,HKI!$AD16=""),"",HKI!$AD16)</f>
        <v/>
      </c>
      <c r="Q16" s="174" t="str">
        <f t="shared" si="2"/>
        <v/>
      </c>
    </row>
    <row r="17" spans="1:17" ht="18" customHeight="1">
      <c r="A17" s="123" t="str">
        <f>IF(OR($C$6="",$I$6="",$L$6=""),"",IF($B17="","",SUBTOTAL(3,$B$11:B17)))</f>
        <v/>
      </c>
      <c r="B17" s="151" t="str">
        <f>IF(OR($C$6="",$I$6="",$L$6=""),"",IF(HKI!$B17="","",HKI!$B17))</f>
        <v/>
      </c>
      <c r="C17" s="26" t="str">
        <f>IF(OR($C$6="",$I$6="",$L$6=""),"",IF(HKI!$C17="","",HKI!$C17))</f>
        <v/>
      </c>
      <c r="D17" s="27" t="str">
        <f>IF(OR($C$6="",$I$6="",$L$6=""),"",IF(HKI!$D17="","",HKI!$D17))</f>
        <v/>
      </c>
      <c r="E17" s="143"/>
      <c r="F17" s="45"/>
      <c r="G17" s="45"/>
      <c r="H17" s="45"/>
      <c r="I17" s="45"/>
      <c r="J17" s="45"/>
      <c r="K17" s="45"/>
      <c r="L17" s="45"/>
      <c r="M17" s="45"/>
      <c r="N17" s="142" t="str">
        <f t="shared" si="1"/>
        <v/>
      </c>
      <c r="O17" s="173" t="str">
        <f t="shared" si="0"/>
        <v/>
      </c>
      <c r="P17" s="174" t="str">
        <f>IF(OR($B17="",$C$6&lt;&gt;HKI!$AB$6,HKI!$AD17=""),"",HKI!$AD17)</f>
        <v/>
      </c>
      <c r="Q17" s="174" t="str">
        <f t="shared" si="2"/>
        <v/>
      </c>
    </row>
    <row r="18" spans="1:17" ht="18" customHeight="1">
      <c r="A18" s="123" t="str">
        <f>IF(OR($C$6="",$I$6="",$L$6=""),"",IF($B18="","",SUBTOTAL(3,$B$11:B18)))</f>
        <v/>
      </c>
      <c r="B18" s="151" t="str">
        <f>IF(OR($C$6="",$I$6="",$L$6=""),"",IF(HKI!$B18="","",HKI!$B18))</f>
        <v/>
      </c>
      <c r="C18" s="26" t="str">
        <f>IF(OR($C$6="",$I$6="",$L$6=""),"",IF(HKI!$C18="","",HKI!$C18))</f>
        <v/>
      </c>
      <c r="D18" s="27" t="str">
        <f>IF(OR($C$6="",$I$6="",$L$6=""),"",IF(HKI!$D18="","",HKI!$D18))</f>
        <v/>
      </c>
      <c r="E18" s="143"/>
      <c r="F18" s="45"/>
      <c r="G18" s="45"/>
      <c r="H18" s="45"/>
      <c r="I18" s="45"/>
      <c r="J18" s="45"/>
      <c r="K18" s="45"/>
      <c r="L18" s="45"/>
      <c r="M18" s="45"/>
      <c r="N18" s="142" t="str">
        <f t="shared" si="1"/>
        <v/>
      </c>
      <c r="O18" s="173" t="str">
        <f t="shared" si="0"/>
        <v/>
      </c>
      <c r="P18" s="174" t="str">
        <f>IF(OR($B18="",$C$6&lt;&gt;HKI!$AB$6,HKI!$AD18=""),"",HKI!$AD18)</f>
        <v/>
      </c>
      <c r="Q18" s="174" t="str">
        <f t="shared" si="2"/>
        <v/>
      </c>
    </row>
    <row r="19" spans="1:17" ht="18" customHeight="1">
      <c r="A19" s="123" t="str">
        <f>IF(OR($C$6="",$I$6="",$L$6=""),"",IF($B19="","",SUBTOTAL(3,$B$11:B19)))</f>
        <v/>
      </c>
      <c r="B19" s="151" t="str">
        <f>IF(OR($C$6="",$I$6="",$L$6=""),"",IF(HKI!$B19="","",HKI!$B19))</f>
        <v/>
      </c>
      <c r="C19" s="26" t="str">
        <f>IF(OR($C$6="",$I$6="",$L$6=""),"",IF(HKI!$C19="","",HKI!$C19))</f>
        <v/>
      </c>
      <c r="D19" s="27" t="str">
        <f>IF(OR($C$6="",$I$6="",$L$6=""),"",IF(HKI!$D19="","",HKI!$D19))</f>
        <v/>
      </c>
      <c r="E19" s="143"/>
      <c r="F19" s="45"/>
      <c r="G19" s="45"/>
      <c r="H19" s="45"/>
      <c r="I19" s="45"/>
      <c r="J19" s="45"/>
      <c r="K19" s="45"/>
      <c r="L19" s="45"/>
      <c r="M19" s="45"/>
      <c r="N19" s="142" t="str">
        <f t="shared" si="1"/>
        <v/>
      </c>
      <c r="O19" s="173" t="str">
        <f t="shared" si="0"/>
        <v/>
      </c>
      <c r="P19" s="174" t="str">
        <f>IF(OR($B19="",$C$6&lt;&gt;HKI!$AB$6,HKI!$AD19=""),"",HKI!$AD19)</f>
        <v/>
      </c>
      <c r="Q19" s="174" t="str">
        <f t="shared" si="2"/>
        <v/>
      </c>
    </row>
    <row r="20" spans="1:17" ht="18" customHeight="1">
      <c r="A20" s="123" t="str">
        <f>IF(OR($C$6="",$I$6="",$L$6=""),"",IF($B20="","",SUBTOTAL(3,$B$11:B20)))</f>
        <v/>
      </c>
      <c r="B20" s="151" t="str">
        <f>IF(OR($C$6="",$I$6="",$L$6=""),"",IF(HKI!$B20="","",HKI!$B20))</f>
        <v/>
      </c>
      <c r="C20" s="26" t="str">
        <f>IF(OR($C$6="",$I$6="",$L$6=""),"",IF(HKI!$C20="","",HKI!$C20))</f>
        <v/>
      </c>
      <c r="D20" s="27" t="str">
        <f>IF(OR($C$6="",$I$6="",$L$6=""),"",IF(HKI!$D20="","",HKI!$D20))</f>
        <v/>
      </c>
      <c r="E20" s="143"/>
      <c r="F20" s="45"/>
      <c r="G20" s="45"/>
      <c r="H20" s="45"/>
      <c r="I20" s="45"/>
      <c r="J20" s="45"/>
      <c r="K20" s="45"/>
      <c r="L20" s="45"/>
      <c r="M20" s="45"/>
      <c r="N20" s="142" t="str">
        <f t="shared" si="1"/>
        <v/>
      </c>
      <c r="O20" s="173" t="str">
        <f t="shared" si="0"/>
        <v/>
      </c>
      <c r="P20" s="174" t="str">
        <f>IF(OR($B20="",$C$6&lt;&gt;HKI!$AB$6,HKI!$AD20=""),"",HKI!$AD20)</f>
        <v/>
      </c>
      <c r="Q20" s="174" t="str">
        <f t="shared" si="2"/>
        <v/>
      </c>
    </row>
    <row r="21" spans="1:17" ht="18" customHeight="1">
      <c r="A21" s="123" t="str">
        <f>IF(OR($C$6="",$I$6="",$L$6=""),"",IF($B21="","",SUBTOTAL(3,$B$11:B21)))</f>
        <v/>
      </c>
      <c r="B21" s="151" t="str">
        <f>IF(OR($C$6="",$I$6="",$L$6=""),"",IF(HKI!$B21="","",HKI!$B21))</f>
        <v/>
      </c>
      <c r="C21" s="26" t="str">
        <f>IF(OR($C$6="",$I$6="",$L$6=""),"",IF(HKI!$C21="","",HKI!$C21))</f>
        <v/>
      </c>
      <c r="D21" s="27" t="str">
        <f>IF(OR($C$6="",$I$6="",$L$6=""),"",IF(HKI!$D21="","",HKI!$D21))</f>
        <v/>
      </c>
      <c r="E21" s="143"/>
      <c r="F21" s="45"/>
      <c r="G21" s="45"/>
      <c r="H21" s="45"/>
      <c r="I21" s="45"/>
      <c r="J21" s="45"/>
      <c r="K21" s="45"/>
      <c r="L21" s="45"/>
      <c r="M21" s="45"/>
      <c r="N21" s="142" t="str">
        <f t="shared" si="1"/>
        <v/>
      </c>
      <c r="O21" s="173" t="str">
        <f t="shared" si="0"/>
        <v/>
      </c>
      <c r="P21" s="174" t="str">
        <f>IF(OR($B21="",$C$6&lt;&gt;HKI!$AB$6,HKI!$AD21=""),"",HKI!$AD21)</f>
        <v/>
      </c>
      <c r="Q21" s="174" t="str">
        <f t="shared" si="2"/>
        <v/>
      </c>
    </row>
    <row r="22" spans="1:17" ht="18" customHeight="1">
      <c r="A22" s="123" t="str">
        <f>IF(OR($C$6="",$I$6="",$L$6=""),"",IF($B22="","",SUBTOTAL(3,$B$11:B22)))</f>
        <v/>
      </c>
      <c r="B22" s="151" t="str">
        <f>IF(OR($C$6="",$I$6="",$L$6=""),"",IF(HKI!$B22="","",HKI!$B22))</f>
        <v/>
      </c>
      <c r="C22" s="26" t="str">
        <f>IF(OR($C$6="",$I$6="",$L$6=""),"",IF(HKI!$C22="","",HKI!$C22))</f>
        <v/>
      </c>
      <c r="D22" s="27" t="str">
        <f>IF(OR($C$6="",$I$6="",$L$6=""),"",IF(HKI!$D22="","",HKI!$D22))</f>
        <v/>
      </c>
      <c r="E22" s="143"/>
      <c r="F22" s="45"/>
      <c r="G22" s="45"/>
      <c r="H22" s="45"/>
      <c r="I22" s="45"/>
      <c r="J22" s="45"/>
      <c r="K22" s="45"/>
      <c r="L22" s="45"/>
      <c r="M22" s="45"/>
      <c r="N22" s="142" t="str">
        <f t="shared" si="1"/>
        <v/>
      </c>
      <c r="O22" s="173" t="str">
        <f t="shared" si="0"/>
        <v/>
      </c>
      <c r="P22" s="174" t="str">
        <f>IF(OR($B22="",$C$6&lt;&gt;HKI!$AB$6,HKI!$AD22=""),"",HKI!$AD22)</f>
        <v/>
      </c>
      <c r="Q22" s="174" t="str">
        <f t="shared" si="2"/>
        <v/>
      </c>
    </row>
    <row r="23" spans="1:17" ht="18" customHeight="1">
      <c r="A23" s="123" t="str">
        <f>IF(OR($C$6="",$I$6="",$L$6=""),"",IF($B23="","",SUBTOTAL(3,$B$11:B23)))</f>
        <v/>
      </c>
      <c r="B23" s="151" t="str">
        <f>IF(OR($C$6="",$I$6="",$L$6=""),"",IF(HKI!$B23="","",HKI!$B23))</f>
        <v/>
      </c>
      <c r="C23" s="26" t="str">
        <f>IF(OR($C$6="",$I$6="",$L$6=""),"",IF(HKI!$C23="","",HKI!$C23))</f>
        <v/>
      </c>
      <c r="D23" s="27" t="str">
        <f>IF(OR($C$6="",$I$6="",$L$6=""),"",IF(HKI!$D23="","",HKI!$D23))</f>
        <v/>
      </c>
      <c r="E23" s="143"/>
      <c r="F23" s="45"/>
      <c r="G23" s="45"/>
      <c r="H23" s="45"/>
      <c r="I23" s="45"/>
      <c r="J23" s="45"/>
      <c r="K23" s="45"/>
      <c r="L23" s="45"/>
      <c r="M23" s="45"/>
      <c r="N23" s="142" t="str">
        <f t="shared" si="1"/>
        <v/>
      </c>
      <c r="O23" s="173" t="str">
        <f t="shared" si="0"/>
        <v/>
      </c>
      <c r="P23" s="174" t="str">
        <f>IF(OR($B23="",$C$6&lt;&gt;HKI!$AB$6,HKI!$AD23=""),"",HKI!$AD23)</f>
        <v/>
      </c>
      <c r="Q23" s="174" t="str">
        <f t="shared" si="2"/>
        <v/>
      </c>
    </row>
    <row r="24" spans="1:17" ht="18" customHeight="1">
      <c r="A24" s="123" t="str">
        <f>IF(OR($C$6="",$I$6="",$L$6=""),"",IF($B24="","",SUBTOTAL(3,$B$11:B24)))</f>
        <v/>
      </c>
      <c r="B24" s="151" t="str">
        <f>IF(OR($C$6="",$I$6="",$L$6=""),"",IF(HKI!$B24="","",HKI!$B24))</f>
        <v/>
      </c>
      <c r="C24" s="26" t="str">
        <f>IF(OR($C$6="",$I$6="",$L$6=""),"",IF(HKI!$C24="","",HKI!$C24))</f>
        <v/>
      </c>
      <c r="D24" s="27" t="str">
        <f>IF(OR($C$6="",$I$6="",$L$6=""),"",IF(HKI!$D24="","",HKI!$D24))</f>
        <v/>
      </c>
      <c r="E24" s="143"/>
      <c r="F24" s="45"/>
      <c r="G24" s="45"/>
      <c r="H24" s="45"/>
      <c r="I24" s="45"/>
      <c r="J24" s="45"/>
      <c r="K24" s="45"/>
      <c r="L24" s="45"/>
      <c r="M24" s="45"/>
      <c r="N24" s="142" t="str">
        <f t="shared" si="1"/>
        <v/>
      </c>
      <c r="O24" s="173" t="str">
        <f t="shared" si="0"/>
        <v/>
      </c>
      <c r="P24" s="174" t="str">
        <f>IF(OR($B24="",$C$6&lt;&gt;HKI!$AB$6,HKI!$AD24=""),"",HKI!$AD24)</f>
        <v/>
      </c>
      <c r="Q24" s="174" t="str">
        <f t="shared" si="2"/>
        <v/>
      </c>
    </row>
    <row r="25" spans="1:17" ht="18" customHeight="1">
      <c r="A25" s="123" t="str">
        <f>IF(OR($C$6="",$I$6="",$L$6=""),"",IF($B25="","",SUBTOTAL(3,$B$11:B25)))</f>
        <v/>
      </c>
      <c r="B25" s="151" t="str">
        <f>IF(OR($C$6="",$I$6="",$L$6=""),"",IF(HKI!$B25="","",HKI!$B25))</f>
        <v/>
      </c>
      <c r="C25" s="26" t="str">
        <f>IF(OR($C$6="",$I$6="",$L$6=""),"",IF(HKI!$C25="","",HKI!$C25))</f>
        <v/>
      </c>
      <c r="D25" s="27" t="str">
        <f>IF(OR($C$6="",$I$6="",$L$6=""),"",IF(HKI!$D25="","",HKI!$D25))</f>
        <v/>
      </c>
      <c r="E25" s="143"/>
      <c r="F25" s="45"/>
      <c r="G25" s="45"/>
      <c r="H25" s="45"/>
      <c r="I25" s="45"/>
      <c r="J25" s="45"/>
      <c r="K25" s="45"/>
      <c r="L25" s="45"/>
      <c r="M25" s="45"/>
      <c r="N25" s="142" t="str">
        <f t="shared" si="1"/>
        <v/>
      </c>
      <c r="O25" s="173" t="str">
        <f t="shared" si="0"/>
        <v/>
      </c>
      <c r="P25" s="174" t="str">
        <f>IF(OR($B25="",$C$6&lt;&gt;HKI!$AB$6,HKI!$AD25=""),"",HKI!$AD25)</f>
        <v/>
      </c>
      <c r="Q25" s="174" t="str">
        <f t="shared" si="2"/>
        <v/>
      </c>
    </row>
    <row r="26" spans="1:17" ht="18" customHeight="1">
      <c r="A26" s="123" t="str">
        <f>IF(OR($C$6="",$I$6="",$L$6=""),"",IF($B26="","",SUBTOTAL(3,$B$11:B26)))</f>
        <v/>
      </c>
      <c r="B26" s="151" t="str">
        <f>IF(OR($C$6="",$I$6="",$L$6=""),"",IF(HKI!$B26="","",HKI!$B26))</f>
        <v/>
      </c>
      <c r="C26" s="26" t="str">
        <f>IF(OR($C$6="",$I$6="",$L$6=""),"",IF(HKI!$C26="","",HKI!$C26))</f>
        <v/>
      </c>
      <c r="D26" s="27" t="str">
        <f>IF(OR($C$6="",$I$6="",$L$6=""),"",IF(HKI!$D26="","",HKI!$D26))</f>
        <v/>
      </c>
      <c r="E26" s="143"/>
      <c r="F26" s="45"/>
      <c r="G26" s="45"/>
      <c r="H26" s="45"/>
      <c r="I26" s="45"/>
      <c r="J26" s="45"/>
      <c r="K26" s="45"/>
      <c r="L26" s="45"/>
      <c r="M26" s="45"/>
      <c r="N26" s="142" t="str">
        <f t="shared" si="1"/>
        <v/>
      </c>
      <c r="O26" s="173" t="str">
        <f t="shared" si="0"/>
        <v/>
      </c>
      <c r="P26" s="174" t="str">
        <f>IF(OR($B26="",$C$6&lt;&gt;HKI!$AB$6,HKI!$AD26=""),"",HKI!$AD26)</f>
        <v/>
      </c>
      <c r="Q26" s="174" t="str">
        <f t="shared" si="2"/>
        <v/>
      </c>
    </row>
    <row r="27" spans="1:17" ht="18" customHeight="1">
      <c r="A27" s="123" t="str">
        <f>IF(OR($C$6="",$I$6="",$L$6=""),"",IF($B27="","",SUBTOTAL(3,$B$11:B27)))</f>
        <v/>
      </c>
      <c r="B27" s="151" t="str">
        <f>IF(OR($C$6="",$I$6="",$L$6=""),"",IF(HKI!$B27="","",HKI!$B27))</f>
        <v/>
      </c>
      <c r="C27" s="26" t="str">
        <f>IF(OR($C$6="",$I$6="",$L$6=""),"",IF(HKI!$C27="","",HKI!$C27))</f>
        <v/>
      </c>
      <c r="D27" s="27" t="str">
        <f>IF(OR($C$6="",$I$6="",$L$6=""),"",IF(HKI!$D27="","",HKI!$D27))</f>
        <v/>
      </c>
      <c r="E27" s="143"/>
      <c r="F27" s="45"/>
      <c r="G27" s="45"/>
      <c r="H27" s="45"/>
      <c r="I27" s="45"/>
      <c r="J27" s="45"/>
      <c r="K27" s="45"/>
      <c r="L27" s="45"/>
      <c r="M27" s="45"/>
      <c r="N27" s="142" t="str">
        <f t="shared" si="1"/>
        <v/>
      </c>
      <c r="O27" s="173" t="str">
        <f t="shared" si="0"/>
        <v/>
      </c>
      <c r="P27" s="174" t="str">
        <f>IF(OR($B27="",$C$6&lt;&gt;HKI!$AB$6,HKI!$AD27=""),"",HKI!$AD27)</f>
        <v/>
      </c>
      <c r="Q27" s="174" t="str">
        <f t="shared" si="2"/>
        <v/>
      </c>
    </row>
    <row r="28" spans="1:17" ht="18" customHeight="1">
      <c r="A28" s="123" t="str">
        <f>IF(OR($C$6="",$I$6="",$L$6=""),"",IF($B28="","",SUBTOTAL(3,$B$11:B28)))</f>
        <v/>
      </c>
      <c r="B28" s="151" t="str">
        <f>IF(OR($C$6="",$I$6="",$L$6=""),"",IF(HKI!$B28="","",HKI!$B28))</f>
        <v/>
      </c>
      <c r="C28" s="26" t="str">
        <f>IF(OR($C$6="",$I$6="",$L$6=""),"",IF(HKI!$C28="","",HKI!$C28))</f>
        <v/>
      </c>
      <c r="D28" s="27" t="str">
        <f>IF(OR($C$6="",$I$6="",$L$6=""),"",IF(HKI!$D28="","",HKI!$D28))</f>
        <v/>
      </c>
      <c r="E28" s="143"/>
      <c r="F28" s="45"/>
      <c r="G28" s="45"/>
      <c r="H28" s="45"/>
      <c r="I28" s="45"/>
      <c r="J28" s="45"/>
      <c r="K28" s="45"/>
      <c r="L28" s="45"/>
      <c r="M28" s="45"/>
      <c r="N28" s="142" t="str">
        <f t="shared" si="1"/>
        <v/>
      </c>
      <c r="O28" s="173" t="str">
        <f t="shared" si="0"/>
        <v/>
      </c>
      <c r="P28" s="174" t="str">
        <f>IF(OR($B28="",$C$6&lt;&gt;HKI!$AB$6,HKI!$AD28=""),"",HKI!$AD28)</f>
        <v/>
      </c>
      <c r="Q28" s="174" t="str">
        <f t="shared" si="2"/>
        <v/>
      </c>
    </row>
    <row r="29" spans="1:17" ht="18" customHeight="1">
      <c r="A29" s="123" t="str">
        <f>IF(OR($C$6="",$I$6="",$L$6=""),"",IF($B29="","",SUBTOTAL(3,$B$11:B29)))</f>
        <v/>
      </c>
      <c r="B29" s="151" t="str">
        <f>IF(OR($C$6="",$I$6="",$L$6=""),"",IF(HKI!$B29="","",HKI!$B29))</f>
        <v/>
      </c>
      <c r="C29" s="26" t="str">
        <f>IF(OR($C$6="",$I$6="",$L$6=""),"",IF(HKI!$C29="","",HKI!$C29))</f>
        <v/>
      </c>
      <c r="D29" s="27" t="str">
        <f>IF(OR($C$6="",$I$6="",$L$6=""),"",IF(HKI!$D29="","",HKI!$D29))</f>
        <v/>
      </c>
      <c r="E29" s="143"/>
      <c r="F29" s="45"/>
      <c r="G29" s="45"/>
      <c r="H29" s="45"/>
      <c r="I29" s="45"/>
      <c r="J29" s="45"/>
      <c r="K29" s="45"/>
      <c r="L29" s="45"/>
      <c r="M29" s="45"/>
      <c r="N29" s="142" t="str">
        <f t="shared" si="1"/>
        <v/>
      </c>
      <c r="O29" s="173" t="str">
        <f t="shared" si="0"/>
        <v/>
      </c>
      <c r="P29" s="174" t="str">
        <f>IF(OR($B29="",$C$6&lt;&gt;HKI!$AB$6,HKI!$AD29=""),"",HKI!$AD29)</f>
        <v/>
      </c>
      <c r="Q29" s="174" t="str">
        <f t="shared" si="2"/>
        <v/>
      </c>
    </row>
    <row r="30" spans="1:17" ht="18" customHeight="1">
      <c r="A30" s="123" t="str">
        <f>IF(OR($C$6="",$I$6="",$L$6=""),"",IF($B30="","",SUBTOTAL(3,$B$11:B30)))</f>
        <v/>
      </c>
      <c r="B30" s="151" t="str">
        <f>IF(OR($C$6="",$I$6="",$L$6=""),"",IF(HKI!$B30="","",HKI!$B30))</f>
        <v/>
      </c>
      <c r="C30" s="26" t="str">
        <f>IF(OR($C$6="",$I$6="",$L$6=""),"",IF(HKI!$C30="","",HKI!$C30))</f>
        <v/>
      </c>
      <c r="D30" s="27" t="str">
        <f>IF(OR($C$6="",$I$6="",$L$6=""),"",IF(HKI!$D30="","",HKI!$D30))</f>
        <v/>
      </c>
      <c r="E30" s="143"/>
      <c r="F30" s="45"/>
      <c r="G30" s="45"/>
      <c r="H30" s="45"/>
      <c r="I30" s="45"/>
      <c r="J30" s="45"/>
      <c r="K30" s="45"/>
      <c r="L30" s="45"/>
      <c r="M30" s="45"/>
      <c r="N30" s="142" t="str">
        <f t="shared" si="1"/>
        <v/>
      </c>
      <c r="O30" s="173" t="str">
        <f t="shared" si="0"/>
        <v/>
      </c>
      <c r="P30" s="174" t="str">
        <f>IF(OR($B30="",$C$6&lt;&gt;HKI!$AB$6,HKI!$AD30=""),"",HKI!$AD30)</f>
        <v/>
      </c>
      <c r="Q30" s="174" t="str">
        <f t="shared" si="2"/>
        <v/>
      </c>
    </row>
    <row r="31" spans="1:17" ht="18" customHeight="1">
      <c r="A31" s="123" t="str">
        <f>IF(OR($C$6="",$I$6="",$L$6=""),"",IF($B31="","",SUBTOTAL(3,$B$11:B31)))</f>
        <v/>
      </c>
      <c r="B31" s="151" t="str">
        <f>IF(OR($C$6="",$I$6="",$L$6=""),"",IF(HKI!$B31="","",HKI!$B31))</f>
        <v/>
      </c>
      <c r="C31" s="26" t="str">
        <f>IF(OR($C$6="",$I$6="",$L$6=""),"",IF(HKI!$C31="","",HKI!$C31))</f>
        <v/>
      </c>
      <c r="D31" s="27" t="str">
        <f>IF(OR($C$6="",$I$6="",$L$6=""),"",IF(HKI!$D31="","",HKI!$D31))</f>
        <v/>
      </c>
      <c r="E31" s="143"/>
      <c r="F31" s="45"/>
      <c r="G31" s="45"/>
      <c r="H31" s="45"/>
      <c r="I31" s="45"/>
      <c r="J31" s="45"/>
      <c r="K31" s="45"/>
      <c r="L31" s="45"/>
      <c r="M31" s="45"/>
      <c r="N31" s="142" t="str">
        <f t="shared" si="1"/>
        <v/>
      </c>
      <c r="O31" s="173" t="str">
        <f t="shared" si="0"/>
        <v/>
      </c>
      <c r="P31" s="174" t="str">
        <f>IF(OR($B31="",$C$6&lt;&gt;HKI!$AB$6,HKI!$AD31=""),"",HKI!$AD31)</f>
        <v/>
      </c>
      <c r="Q31" s="174" t="str">
        <f t="shared" si="2"/>
        <v/>
      </c>
    </row>
    <row r="32" spans="1:17" ht="18" customHeight="1">
      <c r="A32" s="123" t="str">
        <f>IF(OR($C$6="",$I$6="",$L$6=""),"",IF($B32="","",SUBTOTAL(3,$B$11:B32)))</f>
        <v/>
      </c>
      <c r="B32" s="151" t="str">
        <f>IF(OR($C$6="",$I$6="",$L$6=""),"",IF(HKI!$B32="","",HKI!$B32))</f>
        <v/>
      </c>
      <c r="C32" s="26" t="str">
        <f>IF(OR($C$6="",$I$6="",$L$6=""),"",IF(HKI!$C32="","",HKI!$C32))</f>
        <v/>
      </c>
      <c r="D32" s="27" t="str">
        <f>IF(OR($C$6="",$I$6="",$L$6=""),"",IF(HKI!$D32="","",HKI!$D32))</f>
        <v/>
      </c>
      <c r="E32" s="143"/>
      <c r="F32" s="45"/>
      <c r="G32" s="45"/>
      <c r="H32" s="45"/>
      <c r="I32" s="45"/>
      <c r="J32" s="45"/>
      <c r="K32" s="45"/>
      <c r="L32" s="45"/>
      <c r="M32" s="45"/>
      <c r="N32" s="142" t="str">
        <f t="shared" si="1"/>
        <v/>
      </c>
      <c r="O32" s="173" t="str">
        <f t="shared" si="0"/>
        <v/>
      </c>
      <c r="P32" s="174" t="str">
        <f>IF(OR($B32="",$C$6&lt;&gt;HKI!$AB$6,HKI!$AD32=""),"",HKI!$AD32)</f>
        <v/>
      </c>
      <c r="Q32" s="174" t="str">
        <f t="shared" si="2"/>
        <v/>
      </c>
    </row>
    <row r="33" spans="1:17" ht="18" customHeight="1">
      <c r="A33" s="123" t="str">
        <f>IF(OR($C$6="",$I$6="",$L$6=""),"",IF($B33="","",SUBTOTAL(3,$B$11:B33)))</f>
        <v/>
      </c>
      <c r="B33" s="151" t="str">
        <f>IF(OR($C$6="",$I$6="",$L$6=""),"",IF(HKI!$B33="","",HKI!$B33))</f>
        <v/>
      </c>
      <c r="C33" s="26" t="str">
        <f>IF(OR($C$6="",$I$6="",$L$6=""),"",IF(HKI!$C33="","",HKI!$C33))</f>
        <v/>
      </c>
      <c r="D33" s="27" t="str">
        <f>IF(OR($C$6="",$I$6="",$L$6=""),"",IF(HKI!$D33="","",HKI!$D33))</f>
        <v/>
      </c>
      <c r="E33" s="143"/>
      <c r="F33" s="45"/>
      <c r="G33" s="45"/>
      <c r="H33" s="45"/>
      <c r="I33" s="45"/>
      <c r="J33" s="45"/>
      <c r="K33" s="45"/>
      <c r="L33" s="45"/>
      <c r="M33" s="45"/>
      <c r="N33" s="142" t="str">
        <f t="shared" si="1"/>
        <v/>
      </c>
      <c r="O33" s="173" t="str">
        <f t="shared" si="0"/>
        <v/>
      </c>
      <c r="P33" s="174" t="str">
        <f>IF(OR($B33="",$C$6&lt;&gt;HKI!$AB$6,HKI!$AD33=""),"",HKI!$AD33)</f>
        <v/>
      </c>
      <c r="Q33" s="174" t="str">
        <f t="shared" si="2"/>
        <v/>
      </c>
    </row>
    <row r="34" spans="1:17" ht="18" customHeight="1">
      <c r="A34" s="123" t="str">
        <f>IF(OR($C$6="",$I$6="",$L$6=""),"",IF($B34="","",SUBTOTAL(3,$B$11:B34)))</f>
        <v/>
      </c>
      <c r="B34" s="151" t="str">
        <f>IF(OR($C$6="",$I$6="",$L$6=""),"",IF(HKI!$B34="","",HKI!$B34))</f>
        <v/>
      </c>
      <c r="C34" s="26" t="str">
        <f>IF(OR($C$6="",$I$6="",$L$6=""),"",IF(HKI!$C34="","",HKI!$C34))</f>
        <v/>
      </c>
      <c r="D34" s="27" t="str">
        <f>IF(OR($C$6="",$I$6="",$L$6=""),"",IF(HKI!$D34="","",HKI!$D34))</f>
        <v/>
      </c>
      <c r="E34" s="143"/>
      <c r="F34" s="45"/>
      <c r="G34" s="45"/>
      <c r="H34" s="45"/>
      <c r="I34" s="45"/>
      <c r="J34" s="45"/>
      <c r="K34" s="45"/>
      <c r="L34" s="45"/>
      <c r="M34" s="45"/>
      <c r="N34" s="142" t="str">
        <f t="shared" si="1"/>
        <v/>
      </c>
      <c r="O34" s="173" t="str">
        <f t="shared" si="0"/>
        <v/>
      </c>
      <c r="P34" s="174" t="str">
        <f>IF(OR($B34="",$C$6&lt;&gt;HKI!$AB$6,HKI!$AD34=""),"",HKI!$AD34)</f>
        <v/>
      </c>
      <c r="Q34" s="174" t="str">
        <f t="shared" si="2"/>
        <v/>
      </c>
    </row>
    <row r="35" spans="1:17" ht="18" customHeight="1">
      <c r="A35" s="123" t="str">
        <f>IF(OR($C$6="",$I$6="",$L$6=""),"",IF($B35="","",SUBTOTAL(3,$B$11:B35)))</f>
        <v/>
      </c>
      <c r="B35" s="151" t="str">
        <f>IF(OR($C$6="",$I$6="",$L$6=""),"",IF(HKI!$B35="","",HKI!$B35))</f>
        <v/>
      </c>
      <c r="C35" s="26" t="str">
        <f>IF(OR($C$6="",$I$6="",$L$6=""),"",IF(HKI!$C35="","",HKI!$C35))</f>
        <v/>
      </c>
      <c r="D35" s="27" t="str">
        <f>IF(OR($C$6="",$I$6="",$L$6=""),"",IF(HKI!$D35="","",HKI!$D35))</f>
        <v/>
      </c>
      <c r="E35" s="143"/>
      <c r="F35" s="45"/>
      <c r="G35" s="45"/>
      <c r="H35" s="45"/>
      <c r="I35" s="45"/>
      <c r="J35" s="45"/>
      <c r="K35" s="45"/>
      <c r="L35" s="45"/>
      <c r="M35" s="45"/>
      <c r="N35" s="142" t="str">
        <f t="shared" si="1"/>
        <v/>
      </c>
      <c r="O35" s="173" t="str">
        <f t="shared" si="0"/>
        <v/>
      </c>
      <c r="P35" s="174" t="str">
        <f>IF(OR($B35="",$C$6&lt;&gt;HKI!$AB$6,HKI!$AD35=""),"",HKI!$AD35)</f>
        <v/>
      </c>
      <c r="Q35" s="174" t="str">
        <f t="shared" si="2"/>
        <v/>
      </c>
    </row>
    <row r="36" spans="1:17" ht="18" customHeight="1">
      <c r="A36" s="123" t="str">
        <f>IF(OR($C$6="",$I$6="",$L$6=""),"",IF($B36="","",SUBTOTAL(3,$B$11:B36)))</f>
        <v/>
      </c>
      <c r="B36" s="151" t="str">
        <f>IF(OR($C$6="",$I$6="",$L$6=""),"",IF(HKI!$B36="","",HKI!$B36))</f>
        <v/>
      </c>
      <c r="C36" s="26" t="str">
        <f>IF(OR($C$6="",$I$6="",$L$6=""),"",IF(HKI!$C36="","",HKI!$C36))</f>
        <v/>
      </c>
      <c r="D36" s="27" t="str">
        <f>IF(OR($C$6="",$I$6="",$L$6=""),"",IF(HKI!$D36="","",HKI!$D36))</f>
        <v/>
      </c>
      <c r="E36" s="143"/>
      <c r="F36" s="45"/>
      <c r="G36" s="45"/>
      <c r="H36" s="45"/>
      <c r="I36" s="45"/>
      <c r="J36" s="45"/>
      <c r="K36" s="45"/>
      <c r="L36" s="45"/>
      <c r="M36" s="45"/>
      <c r="N36" s="142" t="str">
        <f t="shared" si="1"/>
        <v/>
      </c>
      <c r="O36" s="173" t="str">
        <f t="shared" si="0"/>
        <v/>
      </c>
      <c r="P36" s="174" t="str">
        <f>IF(OR($B36="",$C$6&lt;&gt;HKI!$AB$6,HKI!$AD36=""),"",HKI!$AD36)</f>
        <v/>
      </c>
      <c r="Q36" s="174" t="str">
        <f t="shared" si="2"/>
        <v/>
      </c>
    </row>
    <row r="37" spans="1:17" ht="18" customHeight="1">
      <c r="A37" s="123" t="str">
        <f>IF(OR($C$6="",$I$6="",$L$6=""),"",IF($B37="","",SUBTOTAL(3,$B$11:B37)))</f>
        <v/>
      </c>
      <c r="B37" s="151" t="str">
        <f>IF(OR($C$6="",$I$6="",$L$6=""),"",IF(HKI!$B37="","",HKI!$B37))</f>
        <v/>
      </c>
      <c r="C37" s="26" t="str">
        <f>IF(OR($C$6="",$I$6="",$L$6=""),"",IF(HKI!$C37="","",HKI!$C37))</f>
        <v/>
      </c>
      <c r="D37" s="27" t="str">
        <f>IF(OR($C$6="",$I$6="",$L$6=""),"",IF(HKI!$D37="","",HKI!$D37))</f>
        <v/>
      </c>
      <c r="E37" s="143"/>
      <c r="F37" s="45"/>
      <c r="G37" s="45"/>
      <c r="H37" s="45"/>
      <c r="I37" s="45"/>
      <c r="J37" s="45"/>
      <c r="K37" s="45"/>
      <c r="L37" s="45"/>
      <c r="M37" s="45"/>
      <c r="N37" s="142" t="str">
        <f t="shared" si="1"/>
        <v/>
      </c>
      <c r="O37" s="173" t="str">
        <f t="shared" si="0"/>
        <v/>
      </c>
      <c r="P37" s="174" t="str">
        <f>IF(OR($B37="",$C$6&lt;&gt;HKI!$AB$6,HKI!$AD37=""),"",HKI!$AD37)</f>
        <v/>
      </c>
      <c r="Q37" s="174" t="str">
        <f t="shared" si="2"/>
        <v/>
      </c>
    </row>
    <row r="38" spans="1:17" ht="18" customHeight="1">
      <c r="A38" s="123" t="str">
        <f>IF(OR($C$6="",$I$6="",$L$6=""),"",IF($B38="","",SUBTOTAL(3,$B$11:B38)))</f>
        <v/>
      </c>
      <c r="B38" s="151" t="str">
        <f>IF(OR($C$6="",$I$6="",$L$6=""),"",IF(HKI!$B38="","",HKI!$B38))</f>
        <v/>
      </c>
      <c r="C38" s="26" t="str">
        <f>IF(OR($C$6="",$I$6="",$L$6=""),"",IF(HKI!$C38="","",HKI!$C38))</f>
        <v/>
      </c>
      <c r="D38" s="27" t="str">
        <f>IF(OR($C$6="",$I$6="",$L$6=""),"",IF(HKI!$D38="","",HKI!$D38))</f>
        <v/>
      </c>
      <c r="E38" s="143"/>
      <c r="F38" s="45"/>
      <c r="G38" s="45"/>
      <c r="H38" s="45"/>
      <c r="I38" s="45"/>
      <c r="J38" s="45"/>
      <c r="K38" s="45"/>
      <c r="L38" s="45"/>
      <c r="M38" s="45"/>
      <c r="N38" s="142" t="str">
        <f t="shared" si="1"/>
        <v/>
      </c>
      <c r="O38" s="173" t="str">
        <f t="shared" si="0"/>
        <v/>
      </c>
      <c r="P38" s="174" t="str">
        <f>IF(OR($B38="",$C$6&lt;&gt;HKI!$AB$6,HKI!$AD38=""),"",HKI!$AD38)</f>
        <v/>
      </c>
      <c r="Q38" s="174" t="str">
        <f t="shared" si="2"/>
        <v/>
      </c>
    </row>
    <row r="39" spans="1:17" ht="18" customHeight="1">
      <c r="A39" s="123" t="str">
        <f>IF(OR($C$6="",$I$6="",$L$6=""),"",IF($B39="","",SUBTOTAL(3,$B$11:B39)))</f>
        <v/>
      </c>
      <c r="B39" s="151" t="str">
        <f>IF(OR($C$6="",$I$6="",$L$6=""),"",IF(HKI!$B39="","",HKI!$B39))</f>
        <v/>
      </c>
      <c r="C39" s="26" t="str">
        <f>IF(OR($C$6="",$I$6="",$L$6=""),"",IF(HKI!$C39="","",HKI!$C39))</f>
        <v/>
      </c>
      <c r="D39" s="27" t="str">
        <f>IF(OR($C$6="",$I$6="",$L$6=""),"",IF(HKI!$D39="","",HKI!$D39))</f>
        <v/>
      </c>
      <c r="E39" s="143"/>
      <c r="F39" s="45"/>
      <c r="G39" s="45"/>
      <c r="H39" s="45"/>
      <c r="I39" s="45"/>
      <c r="J39" s="45"/>
      <c r="K39" s="45"/>
      <c r="L39" s="45"/>
      <c r="M39" s="45"/>
      <c r="N39" s="142" t="str">
        <f t="shared" si="1"/>
        <v/>
      </c>
      <c r="O39" s="173" t="str">
        <f t="shared" si="0"/>
        <v/>
      </c>
      <c r="P39" s="174" t="str">
        <f>IF(OR($B39="",$C$6&lt;&gt;HKI!$AB$6,HKI!$AD39=""),"",HKI!$AD39)</f>
        <v/>
      </c>
      <c r="Q39" s="174" t="str">
        <f t="shared" si="2"/>
        <v/>
      </c>
    </row>
    <row r="40" spans="1:17" ht="18" customHeight="1">
      <c r="A40" s="123" t="str">
        <f>IF(OR($C$6="",$I$6="",$L$6=""),"",IF($B40="","",SUBTOTAL(3,$B$11:B40)))</f>
        <v/>
      </c>
      <c r="B40" s="151" t="str">
        <f>IF(OR($C$6="",$I$6="",$L$6=""),"",IF(HKI!$B40="","",HKI!$B40))</f>
        <v/>
      </c>
      <c r="C40" s="26" t="str">
        <f>IF(OR($C$6="",$I$6="",$L$6=""),"",IF(HKI!$C40="","",HKI!$C40))</f>
        <v/>
      </c>
      <c r="D40" s="27" t="str">
        <f>IF(OR($C$6="",$I$6="",$L$6=""),"",IF(HKI!$D40="","",HKI!$D40))</f>
        <v/>
      </c>
      <c r="E40" s="143"/>
      <c r="F40" s="45"/>
      <c r="G40" s="45"/>
      <c r="H40" s="45"/>
      <c r="I40" s="45"/>
      <c r="J40" s="45"/>
      <c r="K40" s="45"/>
      <c r="L40" s="45"/>
      <c r="M40" s="45"/>
      <c r="N40" s="142" t="str">
        <f t="shared" si="1"/>
        <v/>
      </c>
      <c r="O40" s="173" t="str">
        <f t="shared" si="0"/>
        <v/>
      </c>
      <c r="P40" s="174" t="str">
        <f>IF(OR($B40="",$C$6&lt;&gt;HKI!$AB$6,HKI!$AD40=""),"",HKI!$AD40)</f>
        <v/>
      </c>
      <c r="Q40" s="174" t="str">
        <f t="shared" si="2"/>
        <v/>
      </c>
    </row>
    <row r="41" spans="1:17" ht="18" customHeight="1">
      <c r="A41" s="123" t="str">
        <f>IF(OR($C$6="",$I$6="",$L$6=""),"",IF($B41="","",SUBTOTAL(3,$B$11:B41)))</f>
        <v/>
      </c>
      <c r="B41" s="151" t="str">
        <f>IF(OR($C$6="",$I$6="",$L$6=""),"",IF(HKI!$B41="","",HKI!$B41))</f>
        <v/>
      </c>
      <c r="C41" s="26" t="str">
        <f>IF(OR($C$6="",$I$6="",$L$6=""),"",IF(HKI!$C41="","",HKI!$C41))</f>
        <v/>
      </c>
      <c r="D41" s="27" t="str">
        <f>IF(OR($C$6="",$I$6="",$L$6=""),"",IF(HKI!$D41="","",HKI!$D41))</f>
        <v/>
      </c>
      <c r="E41" s="143"/>
      <c r="F41" s="45"/>
      <c r="G41" s="45"/>
      <c r="H41" s="45"/>
      <c r="I41" s="45"/>
      <c r="J41" s="45"/>
      <c r="K41" s="45"/>
      <c r="L41" s="45"/>
      <c r="M41" s="45"/>
      <c r="N41" s="142" t="str">
        <f t="shared" si="1"/>
        <v/>
      </c>
      <c r="O41" s="173" t="str">
        <f t="shared" si="0"/>
        <v/>
      </c>
      <c r="P41" s="174" t="str">
        <f>IF(OR($B41="",$C$6&lt;&gt;HKI!$AB$6,HKI!$AD41=""),"",HKI!$AD41)</f>
        <v/>
      </c>
      <c r="Q41" s="174" t="str">
        <f t="shared" si="2"/>
        <v/>
      </c>
    </row>
    <row r="42" spans="1:17" ht="18" customHeight="1">
      <c r="A42" s="123" t="str">
        <f>IF(OR($C$6="",$I$6="",$L$6=""),"",IF($B42="","",SUBTOTAL(3,$B$11:B42)))</f>
        <v/>
      </c>
      <c r="B42" s="151" t="str">
        <f>IF(OR($C$6="",$I$6="",$L$6=""),"",IF(HKI!$B42="","",HKI!$B42))</f>
        <v/>
      </c>
      <c r="C42" s="26" t="str">
        <f>IF(OR($C$6="",$I$6="",$L$6=""),"",IF(HKI!$C42="","",HKI!$C42))</f>
        <v/>
      </c>
      <c r="D42" s="27" t="str">
        <f>IF(OR($C$6="",$I$6="",$L$6=""),"",IF(HKI!$D42="","",HKI!$D42))</f>
        <v/>
      </c>
      <c r="E42" s="143"/>
      <c r="F42" s="45"/>
      <c r="G42" s="45"/>
      <c r="H42" s="45"/>
      <c r="I42" s="45"/>
      <c r="J42" s="45"/>
      <c r="K42" s="45"/>
      <c r="L42" s="45"/>
      <c r="M42" s="45"/>
      <c r="N42" s="142" t="str">
        <f t="shared" si="1"/>
        <v/>
      </c>
      <c r="O42" s="173" t="str">
        <f t="shared" si="0"/>
        <v/>
      </c>
      <c r="P42" s="174" t="str">
        <f>IF(OR($B42="",$C$6&lt;&gt;HKI!$AB$6,HKI!$AD42=""),"",HKI!$AD42)</f>
        <v/>
      </c>
      <c r="Q42" s="174" t="str">
        <f t="shared" si="2"/>
        <v/>
      </c>
    </row>
    <row r="43" spans="1:17" ht="18" customHeight="1">
      <c r="A43" s="123" t="str">
        <f>IF(OR($C$6="",$I$6="",$L$6=""),"",IF($B43="","",SUBTOTAL(3,$B$11:B43)))</f>
        <v/>
      </c>
      <c r="B43" s="151" t="str">
        <f>IF(OR($C$6="",$I$6="",$L$6=""),"",IF(HKI!$B43="","",HKI!$B43))</f>
        <v/>
      </c>
      <c r="C43" s="26" t="str">
        <f>IF(OR($C$6="",$I$6="",$L$6=""),"",IF(HKI!$C43="","",HKI!$C43))</f>
        <v/>
      </c>
      <c r="D43" s="27" t="str">
        <f>IF(OR($C$6="",$I$6="",$L$6=""),"",IF(HKI!$D43="","",HKI!$D43))</f>
        <v/>
      </c>
      <c r="E43" s="143"/>
      <c r="F43" s="45"/>
      <c r="G43" s="45"/>
      <c r="H43" s="45"/>
      <c r="I43" s="45"/>
      <c r="J43" s="45"/>
      <c r="K43" s="45"/>
      <c r="L43" s="45"/>
      <c r="M43" s="45"/>
      <c r="N43" s="142" t="str">
        <f t="shared" si="1"/>
        <v/>
      </c>
      <c r="O43" s="173" t="str">
        <f t="shared" si="0"/>
        <v/>
      </c>
      <c r="P43" s="174" t="str">
        <f>IF(OR($B43="",$C$6&lt;&gt;HKI!$AB$6,HKI!$AD43=""),"",HKI!$AD43)</f>
        <v/>
      </c>
      <c r="Q43" s="174" t="str">
        <f t="shared" si="2"/>
        <v/>
      </c>
    </row>
    <row r="44" spans="1:17" ht="18" customHeight="1">
      <c r="A44" s="123" t="str">
        <f>IF(OR($C$6="",$I$6="",$L$6=""),"",IF($B44="","",SUBTOTAL(3,$B$11:B44)))</f>
        <v/>
      </c>
      <c r="B44" s="151" t="str">
        <f>IF(OR($C$6="",$I$6="",$L$6=""),"",IF(HKI!$B44="","",HKI!$B44))</f>
        <v/>
      </c>
      <c r="C44" s="26" t="str">
        <f>IF(OR($C$6="",$I$6="",$L$6=""),"",IF(HKI!$C44="","",HKI!$C44))</f>
        <v/>
      </c>
      <c r="D44" s="27" t="str">
        <f>IF(OR($C$6="",$I$6="",$L$6=""),"",IF(HKI!$D44="","",HKI!$D44))</f>
        <v/>
      </c>
      <c r="E44" s="143"/>
      <c r="F44" s="45"/>
      <c r="G44" s="45"/>
      <c r="H44" s="45"/>
      <c r="I44" s="45"/>
      <c r="J44" s="45"/>
      <c r="K44" s="45"/>
      <c r="L44" s="45"/>
      <c r="M44" s="45"/>
      <c r="N44" s="142" t="str">
        <f t="shared" si="1"/>
        <v/>
      </c>
      <c r="O44" s="173" t="str">
        <f t="shared" si="0"/>
        <v/>
      </c>
      <c r="P44" s="174" t="str">
        <f>IF(OR($B44="",$C$6&lt;&gt;HKI!$AB$6,HKI!$AD44=""),"",HKI!$AD44)</f>
        <v/>
      </c>
      <c r="Q44" s="174" t="str">
        <f t="shared" si="2"/>
        <v/>
      </c>
    </row>
    <row r="45" spans="1:17" ht="18" customHeight="1">
      <c r="A45" s="123" t="str">
        <f>IF(OR($C$6="",$I$6="",$L$6=""),"",IF($B45="","",SUBTOTAL(3,$B$11:B45)))</f>
        <v/>
      </c>
      <c r="B45" s="151" t="str">
        <f>IF(OR($C$6="",$I$6="",$L$6=""),"",IF(HKI!$B45="","",HKI!$B45))</f>
        <v/>
      </c>
      <c r="C45" s="26" t="str">
        <f>IF(OR($C$6="",$I$6="",$L$6=""),"",IF(HKI!$C45="","",HKI!$C45))</f>
        <v/>
      </c>
      <c r="D45" s="27" t="str">
        <f>IF(OR($C$6="",$I$6="",$L$6=""),"",IF(HKI!$D45="","",HKI!$D45))</f>
        <v/>
      </c>
      <c r="E45" s="143"/>
      <c r="F45" s="45"/>
      <c r="G45" s="45"/>
      <c r="H45" s="45"/>
      <c r="I45" s="45"/>
      <c r="J45" s="45"/>
      <c r="K45" s="45"/>
      <c r="L45" s="45"/>
      <c r="M45" s="45"/>
      <c r="N45" s="142" t="str">
        <f t="shared" si="1"/>
        <v/>
      </c>
      <c r="O45" s="173" t="str">
        <f t="shared" si="0"/>
        <v/>
      </c>
      <c r="P45" s="174" t="str">
        <f>IF(OR($B45="",$C$6&lt;&gt;HKI!$AB$6,HKI!$AD45=""),"",HKI!$AD45)</f>
        <v/>
      </c>
      <c r="Q45" s="174" t="str">
        <f t="shared" si="2"/>
        <v/>
      </c>
    </row>
    <row r="46" spans="1:17" ht="18" customHeight="1">
      <c r="A46" s="123" t="str">
        <f>IF(OR($C$6="",$I$6="",$L$6=""),"",IF($B46="","",SUBTOTAL(3,$B$11:B46)))</f>
        <v/>
      </c>
      <c r="B46" s="151" t="str">
        <f>IF(OR($C$6="",$I$6="",$L$6=""),"",IF(HKI!$B46="","",HKI!$B46))</f>
        <v/>
      </c>
      <c r="C46" s="26" t="str">
        <f>IF(OR($C$6="",$I$6="",$L$6=""),"",IF(HKI!$C46="","",HKI!$C46))</f>
        <v/>
      </c>
      <c r="D46" s="27" t="str">
        <f>IF(OR($C$6="",$I$6="",$L$6=""),"",IF(HKI!$D46="","",HKI!$D46))</f>
        <v/>
      </c>
      <c r="E46" s="143"/>
      <c r="F46" s="45"/>
      <c r="G46" s="45"/>
      <c r="H46" s="45"/>
      <c r="I46" s="45"/>
      <c r="J46" s="45"/>
      <c r="K46" s="45"/>
      <c r="L46" s="45"/>
      <c r="M46" s="45"/>
      <c r="N46" s="142" t="str">
        <f t="shared" si="1"/>
        <v/>
      </c>
      <c r="O46" s="173" t="str">
        <f t="shared" si="0"/>
        <v/>
      </c>
      <c r="P46" s="174" t="str">
        <f>IF(OR($B46="",$C$6&lt;&gt;HKI!$AB$6,HKI!$AD46=""),"",HKI!$AD46)</f>
        <v/>
      </c>
      <c r="Q46" s="174" t="str">
        <f t="shared" si="2"/>
        <v/>
      </c>
    </row>
    <row r="47" spans="1:17" ht="18" customHeight="1">
      <c r="A47" s="123" t="str">
        <f>IF(OR($C$6="",$I$6="",$L$6=""),"",IF($B47="","",SUBTOTAL(3,$B$11:B47)))</f>
        <v/>
      </c>
      <c r="B47" s="151" t="str">
        <f>IF(OR($C$6="",$I$6="",$L$6=""),"",IF(HKI!$B47="","",HKI!$B47))</f>
        <v/>
      </c>
      <c r="C47" s="26" t="str">
        <f>IF(OR($C$6="",$I$6="",$L$6=""),"",IF(HKI!$C47="","",HKI!$C47))</f>
        <v/>
      </c>
      <c r="D47" s="27" t="str">
        <f>IF(OR($C$6="",$I$6="",$L$6=""),"",IF(HKI!$D47="","",HKI!$D47))</f>
        <v/>
      </c>
      <c r="E47" s="143"/>
      <c r="F47" s="45"/>
      <c r="G47" s="45"/>
      <c r="H47" s="45"/>
      <c r="I47" s="45"/>
      <c r="J47" s="45"/>
      <c r="K47" s="45"/>
      <c r="L47" s="45"/>
      <c r="M47" s="45"/>
      <c r="N47" s="142" t="str">
        <f t="shared" si="1"/>
        <v/>
      </c>
      <c r="O47" s="173" t="str">
        <f t="shared" si="0"/>
        <v/>
      </c>
      <c r="P47" s="174" t="str">
        <f>IF(OR($B47="",$C$6&lt;&gt;HKI!$AB$6,HKI!$AD47=""),"",HKI!$AD47)</f>
        <v/>
      </c>
      <c r="Q47" s="174" t="str">
        <f t="shared" si="2"/>
        <v/>
      </c>
    </row>
    <row r="48" spans="1:17" ht="18" customHeight="1">
      <c r="A48" s="123" t="str">
        <f>IF(OR($C$6="",$I$6="",$L$6=""),"",IF($B48="","",SUBTOTAL(3,$B$11:B48)))</f>
        <v/>
      </c>
      <c r="B48" s="151" t="str">
        <f>IF(OR($C$6="",$I$6="",$L$6=""),"",IF(HKI!$B48="","",HKI!$B48))</f>
        <v/>
      </c>
      <c r="C48" s="26" t="str">
        <f>IF(OR($C$6="",$I$6="",$L$6=""),"",IF(HKI!$C48="","",HKI!$C48))</f>
        <v/>
      </c>
      <c r="D48" s="27" t="str">
        <f>IF(OR($C$6="",$I$6="",$L$6=""),"",IF(HKI!$D48="","",HKI!$D48))</f>
        <v/>
      </c>
      <c r="E48" s="143"/>
      <c r="F48" s="45"/>
      <c r="G48" s="45"/>
      <c r="H48" s="45"/>
      <c r="I48" s="45"/>
      <c r="J48" s="45"/>
      <c r="K48" s="45"/>
      <c r="L48" s="45"/>
      <c r="M48" s="45"/>
      <c r="N48" s="142" t="str">
        <f t="shared" si="1"/>
        <v/>
      </c>
      <c r="O48" s="173" t="str">
        <f t="shared" si="0"/>
        <v/>
      </c>
      <c r="P48" s="174" t="str">
        <f>IF(OR($B48="",$C$6&lt;&gt;HKI!$AB$6,HKI!$AD48=""),"",HKI!$AD48)</f>
        <v/>
      </c>
      <c r="Q48" s="174" t="str">
        <f t="shared" si="2"/>
        <v/>
      </c>
    </row>
    <row r="49" spans="1:17" ht="18" customHeight="1">
      <c r="A49" s="123" t="str">
        <f>IF(OR($C$6="",$I$6="",$L$6=""),"",IF($B49="","",SUBTOTAL(3,$B$11:B49)))</f>
        <v/>
      </c>
      <c r="B49" s="151" t="str">
        <f>IF(OR($C$6="",$I$6="",$L$6=""),"",IF(HKI!$B49="","",HKI!$B49))</f>
        <v/>
      </c>
      <c r="C49" s="26" t="str">
        <f>IF(OR($C$6="",$I$6="",$L$6=""),"",IF(HKI!$C49="","",HKI!$C49))</f>
        <v/>
      </c>
      <c r="D49" s="27" t="str">
        <f>IF(OR($C$6="",$I$6="",$L$6=""),"",IF(HKI!$D49="","",HKI!$D49))</f>
        <v/>
      </c>
      <c r="E49" s="143"/>
      <c r="F49" s="45"/>
      <c r="G49" s="45"/>
      <c r="H49" s="45"/>
      <c r="I49" s="45"/>
      <c r="J49" s="45"/>
      <c r="K49" s="45"/>
      <c r="L49" s="45"/>
      <c r="M49" s="45"/>
      <c r="N49" s="142" t="str">
        <f t="shared" si="1"/>
        <v/>
      </c>
      <c r="O49" s="173" t="str">
        <f t="shared" si="0"/>
        <v/>
      </c>
      <c r="P49" s="174" t="str">
        <f>IF(OR($B49="",$C$6&lt;&gt;HKI!$AB$6,HKI!$AD49=""),"",HKI!$AD49)</f>
        <v/>
      </c>
      <c r="Q49" s="174" t="str">
        <f t="shared" si="2"/>
        <v/>
      </c>
    </row>
    <row r="50" spans="1:17" ht="18" customHeight="1">
      <c r="A50" s="123" t="str">
        <f>IF(OR($C$6="",$I$6="",$L$6=""),"",IF($B50="","",SUBTOTAL(3,$B$11:B50)))</f>
        <v/>
      </c>
      <c r="B50" s="151" t="str">
        <f>IF(OR($C$6="",$I$6="",$L$6=""),"",IF(HKI!$B50="","",HKI!$B50))</f>
        <v/>
      </c>
      <c r="C50" s="26" t="str">
        <f>IF(OR($C$6="",$I$6="",$L$6=""),"",IF(HKI!$C50="","",HKI!$C50))</f>
        <v/>
      </c>
      <c r="D50" s="27" t="str">
        <f>IF(OR($C$6="",$I$6="",$L$6=""),"",IF(HKI!$D50="","",HKI!$D50))</f>
        <v/>
      </c>
      <c r="E50" s="143"/>
      <c r="F50" s="45"/>
      <c r="G50" s="45"/>
      <c r="H50" s="45"/>
      <c r="I50" s="45"/>
      <c r="J50" s="45"/>
      <c r="K50" s="45"/>
      <c r="L50" s="45"/>
      <c r="M50" s="45"/>
      <c r="N50" s="142" t="str">
        <f t="shared" si="1"/>
        <v/>
      </c>
      <c r="O50" s="173" t="str">
        <f t="shared" si="0"/>
        <v/>
      </c>
      <c r="P50" s="174" t="str">
        <f>IF(OR($B50="",$C$6&lt;&gt;HKI!$AB$6,HKI!$AD50=""),"",HKI!$AD50)</f>
        <v/>
      </c>
      <c r="Q50" s="174" t="str">
        <f t="shared" si="2"/>
        <v/>
      </c>
    </row>
    <row r="51" spans="1:17" ht="18" customHeight="1">
      <c r="A51" s="123" t="str">
        <f>IF(OR($C$6="",$I$6="",$L$6=""),"",IF($B51="","",SUBTOTAL(3,$B$11:B51)))</f>
        <v/>
      </c>
      <c r="B51" s="151" t="str">
        <f>IF(OR($C$6="",$I$6="",$L$6=""),"",IF(HKI!$B51="","",HKI!$B51))</f>
        <v/>
      </c>
      <c r="C51" s="26" t="str">
        <f>IF(OR($C$6="",$I$6="",$L$6=""),"",IF(HKI!$C51="","",HKI!$C51))</f>
        <v/>
      </c>
      <c r="D51" s="27" t="str">
        <f>IF(OR($C$6="",$I$6="",$L$6=""),"",IF(HKI!$D51="","",HKI!$D51))</f>
        <v/>
      </c>
      <c r="E51" s="143"/>
      <c r="F51" s="45"/>
      <c r="G51" s="45"/>
      <c r="H51" s="45"/>
      <c r="I51" s="45"/>
      <c r="J51" s="45"/>
      <c r="K51" s="45"/>
      <c r="L51" s="45"/>
      <c r="M51" s="45"/>
      <c r="N51" s="142" t="str">
        <f t="shared" si="1"/>
        <v/>
      </c>
      <c r="O51" s="173" t="str">
        <f t="shared" si="0"/>
        <v/>
      </c>
      <c r="P51" s="174" t="str">
        <f>IF(OR($B51="",$C$6&lt;&gt;HKI!$AB$6,HKI!$AD51=""),"",HKI!$AD51)</f>
        <v/>
      </c>
      <c r="Q51" s="174" t="str">
        <f t="shared" si="2"/>
        <v/>
      </c>
    </row>
    <row r="52" spans="1:17" ht="18" customHeight="1">
      <c r="A52" s="123" t="str">
        <f>IF(OR($C$6="",$I$6="",$L$6=""),"",IF($B52="","",SUBTOTAL(3,$B$11:B52)))</f>
        <v/>
      </c>
      <c r="B52" s="151" t="str">
        <f>IF(OR($C$6="",$I$6="",$L$6=""),"",IF(HKI!$B52="","",HKI!$B52))</f>
        <v/>
      </c>
      <c r="C52" s="26" t="str">
        <f>IF(OR($C$6="",$I$6="",$L$6=""),"",IF(HKI!$C52="","",HKI!$C52))</f>
        <v/>
      </c>
      <c r="D52" s="27" t="str">
        <f>IF(OR($C$6="",$I$6="",$L$6=""),"",IF(HKI!$D52="","",HKI!$D52))</f>
        <v/>
      </c>
      <c r="E52" s="143"/>
      <c r="F52" s="45"/>
      <c r="G52" s="45"/>
      <c r="H52" s="45"/>
      <c r="I52" s="45"/>
      <c r="J52" s="45"/>
      <c r="K52" s="45"/>
      <c r="L52" s="45"/>
      <c r="M52" s="45"/>
      <c r="N52" s="142" t="str">
        <f t="shared" si="1"/>
        <v/>
      </c>
      <c r="O52" s="173" t="str">
        <f t="shared" si="0"/>
        <v/>
      </c>
      <c r="P52" s="174" t="str">
        <f>IF(OR($B52="",$C$6&lt;&gt;HKI!$AB$6,HKI!$AD52=""),"",HKI!$AD52)</f>
        <v/>
      </c>
      <c r="Q52" s="174" t="str">
        <f t="shared" si="2"/>
        <v/>
      </c>
    </row>
    <row r="53" spans="1:17" ht="18" customHeight="1">
      <c r="A53" s="123" t="str">
        <f>IF(OR($C$6="",$I$6="",$L$6=""),"",IF($B53="","",SUBTOTAL(3,$B$11:B53)))</f>
        <v/>
      </c>
      <c r="B53" s="151" t="str">
        <f>IF(OR($C$6="",$I$6="",$L$6=""),"",IF(HKI!$B53="","",HKI!$B53))</f>
        <v/>
      </c>
      <c r="C53" s="26" t="str">
        <f>IF(OR($C$6="",$I$6="",$L$6=""),"",IF(HKI!$C53="","",HKI!$C53))</f>
        <v/>
      </c>
      <c r="D53" s="27" t="str">
        <f>IF(OR($C$6="",$I$6="",$L$6=""),"",IF(HKI!$D53="","",HKI!$D53))</f>
        <v/>
      </c>
      <c r="E53" s="143"/>
      <c r="F53" s="45"/>
      <c r="G53" s="45"/>
      <c r="H53" s="45"/>
      <c r="I53" s="45"/>
      <c r="J53" s="45"/>
      <c r="K53" s="45"/>
      <c r="L53" s="45"/>
      <c r="M53" s="45"/>
      <c r="N53" s="142" t="str">
        <f t="shared" si="1"/>
        <v/>
      </c>
      <c r="O53" s="173" t="str">
        <f t="shared" si="0"/>
        <v/>
      </c>
      <c r="P53" s="174" t="str">
        <f>IF(OR($B53="",$C$6&lt;&gt;HKI!$AB$6,HKI!$AD53=""),"",HKI!$AD53)</f>
        <v/>
      </c>
      <c r="Q53" s="174" t="str">
        <f t="shared" si="2"/>
        <v/>
      </c>
    </row>
    <row r="54" spans="1:17" ht="18" customHeight="1">
      <c r="A54" s="123" t="str">
        <f>IF(OR($C$6="",$I$6="",$L$6=""),"",IF($B54="","",SUBTOTAL(3,$B$11:B54)))</f>
        <v/>
      </c>
      <c r="B54" s="151" t="str">
        <f>IF(OR($C$6="",$I$6="",$L$6=""),"",IF(HKI!$B54="","",HKI!$B54))</f>
        <v/>
      </c>
      <c r="C54" s="26" t="str">
        <f>IF(OR($C$6="",$I$6="",$L$6=""),"",IF(HKI!$C54="","",HKI!$C54))</f>
        <v/>
      </c>
      <c r="D54" s="27" t="str">
        <f>IF(OR($C$6="",$I$6="",$L$6=""),"",IF(HKI!$D54="","",HKI!$D54))</f>
        <v/>
      </c>
      <c r="E54" s="143"/>
      <c r="F54" s="45"/>
      <c r="G54" s="45"/>
      <c r="H54" s="45"/>
      <c r="I54" s="45"/>
      <c r="J54" s="45"/>
      <c r="K54" s="45"/>
      <c r="L54" s="45"/>
      <c r="M54" s="45"/>
      <c r="N54" s="142" t="str">
        <f t="shared" si="1"/>
        <v/>
      </c>
      <c r="O54" s="173" t="str">
        <f t="shared" si="0"/>
        <v/>
      </c>
      <c r="P54" s="174" t="str">
        <f>IF(OR($B54="",$C$6&lt;&gt;HKI!$AB$6,HKI!$AD54=""),"",HKI!$AD54)</f>
        <v/>
      </c>
      <c r="Q54" s="174" t="str">
        <f t="shared" si="2"/>
        <v/>
      </c>
    </row>
    <row r="55" spans="1:17" ht="18" customHeight="1">
      <c r="A55" s="123" t="str">
        <f>IF(OR($C$6="",$I$6="",$L$6=""),"",IF($B55="","",SUBTOTAL(3,$B$11:B55)))</f>
        <v/>
      </c>
      <c r="B55" s="151" t="str">
        <f>IF(OR($C$6="",$I$6="",$L$6=""),"",IF(HKI!$B55="","",HKI!$B55))</f>
        <v/>
      </c>
      <c r="C55" s="26" t="str">
        <f>IF(OR($C$6="",$I$6="",$L$6=""),"",IF(HKI!$C55="","",HKI!$C55))</f>
        <v/>
      </c>
      <c r="D55" s="27" t="str">
        <f>IF(OR($C$6="",$I$6="",$L$6=""),"",IF(HKI!$D55="","",HKI!$D55))</f>
        <v/>
      </c>
      <c r="E55" s="143"/>
      <c r="F55" s="45"/>
      <c r="G55" s="45"/>
      <c r="H55" s="45"/>
      <c r="I55" s="45"/>
      <c r="J55" s="45"/>
      <c r="K55" s="45"/>
      <c r="L55" s="45"/>
      <c r="M55" s="45"/>
      <c r="N55" s="142" t="str">
        <f t="shared" si="1"/>
        <v/>
      </c>
      <c r="O55" s="173" t="str">
        <f t="shared" si="0"/>
        <v/>
      </c>
      <c r="P55" s="174" t="str">
        <f>IF(OR($B55="",$C$6&lt;&gt;HKI!$AB$6,HKI!$AD55=""),"",HKI!$AD55)</f>
        <v/>
      </c>
      <c r="Q55" s="174" t="str">
        <f t="shared" si="2"/>
        <v/>
      </c>
    </row>
    <row r="56" spans="1:17" ht="18" customHeight="1">
      <c r="A56" s="123" t="str">
        <f>IF(OR($C$6="",$I$6="",$L$6=""),"",IF($B56="","",SUBTOTAL(3,$B$11:B56)))</f>
        <v/>
      </c>
      <c r="B56" s="151" t="str">
        <f>IF(OR($C$6="",$I$6="",$L$6=""),"",IF(HKI!$B56="","",HKI!$B56))</f>
        <v/>
      </c>
      <c r="C56" s="26" t="str">
        <f>IF(OR($C$6="",$I$6="",$L$6=""),"",IF(HKI!$C56="","",HKI!$C56))</f>
        <v/>
      </c>
      <c r="D56" s="27" t="str">
        <f>IF(OR($C$6="",$I$6="",$L$6=""),"",IF(HKI!$D56="","",HKI!$D56))</f>
        <v/>
      </c>
      <c r="E56" s="143"/>
      <c r="F56" s="45"/>
      <c r="G56" s="45"/>
      <c r="H56" s="143"/>
      <c r="I56" s="143"/>
      <c r="J56" s="143"/>
      <c r="K56" s="143"/>
      <c r="L56" s="45"/>
      <c r="M56" s="45"/>
      <c r="N56" s="142" t="str">
        <f t="shared" si="1"/>
        <v/>
      </c>
      <c r="O56" s="173" t="str">
        <f t="shared" si="0"/>
        <v/>
      </c>
      <c r="P56" s="174" t="str">
        <f>IF(OR($B56="",$C$6&lt;&gt;HKI!$AB$6,HKI!$AD56=""),"",HKI!$AD56)</f>
        <v/>
      </c>
      <c r="Q56" s="174" t="str">
        <f t="shared" si="2"/>
        <v/>
      </c>
    </row>
    <row r="57" spans="1:17" s="148" customFormat="1" ht="18" customHeight="1">
      <c r="A57" s="123" t="str">
        <f>IF(OR($C$6="",$I$6="",$L$6=""),"",IF($B57="","",SUBTOTAL(3,$B$11:B57)))</f>
        <v/>
      </c>
      <c r="B57" s="151" t="str">
        <f>IF(OR($C$6="",$I$6="",$L$6=""),"",IF(HKI!$B57="","",HKI!$B57))</f>
        <v/>
      </c>
      <c r="C57" s="26" t="str">
        <f>IF(OR($C$6="",$I$6="",$L$6=""),"",IF(HKI!$C57="","",HKI!$C57))</f>
        <v/>
      </c>
      <c r="D57" s="27" t="str">
        <f>IF(OR($C$6="",$I$6="",$L$6=""),"",IF(HKI!$D57="","",HKI!$D57))</f>
        <v/>
      </c>
      <c r="E57" s="143"/>
      <c r="F57" s="45"/>
      <c r="G57" s="45"/>
      <c r="H57" s="143"/>
      <c r="I57" s="143"/>
      <c r="J57" s="143"/>
      <c r="K57" s="143"/>
      <c r="L57" s="45"/>
      <c r="M57" s="45"/>
      <c r="N57" s="142" t="str">
        <f t="shared" si="1"/>
        <v/>
      </c>
      <c r="O57" s="173" t="str">
        <f t="shared" si="0"/>
        <v/>
      </c>
      <c r="P57" s="174" t="str">
        <f>IF(OR($B57="",$C$6&lt;&gt;HKI!$AB$6,HKI!$AD57=""),"",HKI!$AD57)</f>
        <v/>
      </c>
      <c r="Q57" s="174" t="str">
        <f t="shared" si="2"/>
        <v/>
      </c>
    </row>
    <row r="58" spans="1:17" s="148" customFormat="1" ht="18" customHeight="1">
      <c r="A58" s="123" t="str">
        <f>IF(OR($C$6="",$I$6="",$L$6=""),"",IF($B58="","",SUBTOTAL(3,$B$11:B58)))</f>
        <v/>
      </c>
      <c r="B58" s="151" t="str">
        <f>IF(OR($C$6="",$I$6="",$L$6=""),"",IF(HKI!$B58="","",HKI!$B58))</f>
        <v/>
      </c>
      <c r="C58" s="26" t="str">
        <f>IF(OR($C$6="",$I$6="",$L$6=""),"",IF(HKI!$C58="","",HKI!$C58))</f>
        <v/>
      </c>
      <c r="D58" s="27" t="str">
        <f>IF(OR($C$6="",$I$6="",$L$6=""),"",IF(HKI!$D58="","",HKI!$D58))</f>
        <v/>
      </c>
      <c r="E58" s="143"/>
      <c r="F58" s="45"/>
      <c r="G58" s="45"/>
      <c r="H58" s="143"/>
      <c r="I58" s="143"/>
      <c r="J58" s="143"/>
      <c r="K58" s="143"/>
      <c r="L58" s="45"/>
      <c r="M58" s="45"/>
      <c r="N58" s="142" t="str">
        <f t="shared" si="1"/>
        <v/>
      </c>
      <c r="O58" s="173" t="str">
        <f t="shared" si="0"/>
        <v/>
      </c>
      <c r="P58" s="174" t="str">
        <f>IF(OR($B58="",$C$6&lt;&gt;HKI!$AB$6,HKI!$AD58=""),"",HKI!$AD58)</f>
        <v/>
      </c>
      <c r="Q58" s="174" t="str">
        <f t="shared" si="2"/>
        <v/>
      </c>
    </row>
    <row r="59" spans="1:17" ht="18" customHeight="1">
      <c r="A59" s="123" t="str">
        <f>IF(OR($C$6="",$I$6="",$L$6=""),"",IF($B59="","",SUBTOTAL(3,$B$11:B59)))</f>
        <v/>
      </c>
      <c r="B59" s="151" t="str">
        <f>IF(OR($C$6="",$I$6="",$L$6=""),"",IF(HKI!$B59="","",HKI!$B59))</f>
        <v/>
      </c>
      <c r="C59" s="26" t="str">
        <f>IF(OR($C$6="",$I$6="",$L$6=""),"",IF(HKI!$C59="","",HKI!$C59))</f>
        <v/>
      </c>
      <c r="D59" s="27" t="str">
        <f>IF(OR($C$6="",$I$6="",$L$6=""),"",IF(HKI!$D59="","",HKI!$D59))</f>
        <v/>
      </c>
      <c r="E59" s="143"/>
      <c r="F59" s="45"/>
      <c r="G59" s="45"/>
      <c r="H59" s="143"/>
      <c r="I59" s="143"/>
      <c r="J59" s="143"/>
      <c r="K59" s="143"/>
      <c r="L59" s="45"/>
      <c r="M59" s="45"/>
      <c r="N59" s="142" t="str">
        <f t="shared" si="1"/>
        <v/>
      </c>
      <c r="O59" s="173" t="str">
        <f t="shared" si="0"/>
        <v/>
      </c>
      <c r="P59" s="174" t="str">
        <f>IF(OR($B59="",$C$6&lt;&gt;HKI!$AB$6,HKI!$AD59=""),"",HKI!$AD59)</f>
        <v/>
      </c>
      <c r="Q59" s="174" t="str">
        <f t="shared" si="2"/>
        <v/>
      </c>
    </row>
    <row r="60" spans="1:17" ht="18" customHeight="1">
      <c r="A60" s="123" t="str">
        <f>IF(OR($C$6="",$I$6="",$L$6=""),"",IF($B60="","",SUBTOTAL(3,$B$11:B60)))</f>
        <v/>
      </c>
      <c r="B60" s="151" t="str">
        <f>IF(OR($C$6="",$I$6="",$L$6=""),"",IF(HKI!$B60="","",HKI!$B60))</f>
        <v/>
      </c>
      <c r="C60" s="26" t="str">
        <f>IF(OR($C$6="",$I$6="",$L$6=""),"",IF(HKI!$C60="","",HKI!$C60))</f>
        <v/>
      </c>
      <c r="D60" s="27" t="str">
        <f>IF(OR($C$6="",$I$6="",$L$6=""),"",IF(HKI!$D60="","",HKI!$D60))</f>
        <v/>
      </c>
      <c r="E60" s="143"/>
      <c r="F60" s="45"/>
      <c r="G60" s="45"/>
      <c r="H60" s="143"/>
      <c r="I60" s="143"/>
      <c r="J60" s="143"/>
      <c r="K60" s="143"/>
      <c r="L60" s="45"/>
      <c r="M60" s="45"/>
      <c r="N60" s="142" t="str">
        <f t="shared" si="1"/>
        <v/>
      </c>
      <c r="O60" s="173" t="str">
        <f t="shared" si="0"/>
        <v/>
      </c>
      <c r="P60" s="174" t="str">
        <f>IF(OR($B60="",$C$6&lt;&gt;HKI!$AB$6,HKI!$AD60=""),"",HKI!$AD60)</f>
        <v/>
      </c>
      <c r="Q60" s="174" t="str">
        <f t="shared" si="2"/>
        <v/>
      </c>
    </row>
    <row r="61" spans="1:17" ht="18" customHeight="1">
      <c r="A61" s="123" t="str">
        <f>IF(OR($C$6="",$I$6="",$L$6=""),"",IF($B61="","",SUBTOTAL(3,$B$11:B61)))</f>
        <v/>
      </c>
      <c r="B61" s="151" t="str">
        <f>IF(OR($C$6="",$I$6="",$L$6=""),"",IF(HKI!$B61="","",HKI!$B61))</f>
        <v/>
      </c>
      <c r="C61" s="26" t="str">
        <f>IF(OR($C$6="",$I$6="",$L$6=""),"",IF(HKI!$C61="","",HKI!$C61))</f>
        <v/>
      </c>
      <c r="D61" s="27" t="str">
        <f>IF(OR($C$6="",$I$6="",$L$6=""),"",IF(HKI!$D61="","",HKI!$D61))</f>
        <v/>
      </c>
      <c r="E61" s="143"/>
      <c r="F61" s="45"/>
      <c r="G61" s="45"/>
      <c r="H61" s="143"/>
      <c r="I61" s="143"/>
      <c r="J61" s="143"/>
      <c r="K61" s="143"/>
      <c r="L61" s="45"/>
      <c r="M61" s="45"/>
      <c r="N61" s="142" t="str">
        <f t="shared" si="1"/>
        <v/>
      </c>
      <c r="O61" s="173" t="str">
        <f t="shared" si="0"/>
        <v/>
      </c>
      <c r="P61" s="174" t="str">
        <f>IF(OR($B61="",$C$6&lt;&gt;HKI!$AB$6,HKI!$AD61=""),"",HKI!$AD61)</f>
        <v/>
      </c>
      <c r="Q61" s="174" t="str">
        <f t="shared" si="2"/>
        <v/>
      </c>
    </row>
    <row r="62" spans="1:17" ht="18" customHeight="1">
      <c r="A62" s="123" t="str">
        <f>IF(OR($C$6="",$I$6="",$L$6=""),"",IF($B62="","",SUBTOTAL(3,$B$11:B62)))</f>
        <v/>
      </c>
      <c r="B62" s="151" t="str">
        <f>IF(OR($C$6="",$I$6="",$L$6=""),"",IF(HKI!$B62="","",HKI!$B62))</f>
        <v/>
      </c>
      <c r="C62" s="26" t="str">
        <f>IF(OR($C$6="",$I$6="",$L$6=""),"",IF(HKI!$C62="","",HKI!$C62))</f>
        <v/>
      </c>
      <c r="D62" s="27" t="str">
        <f>IF(OR($C$6="",$I$6="",$L$6=""),"",IF(HKI!$D62="","",HKI!$D62))</f>
        <v/>
      </c>
      <c r="E62" s="143"/>
      <c r="F62" s="45"/>
      <c r="G62" s="45"/>
      <c r="H62" s="143"/>
      <c r="I62" s="143"/>
      <c r="J62" s="143"/>
      <c r="K62" s="143"/>
      <c r="L62" s="45"/>
      <c r="M62" s="45"/>
      <c r="N62" s="142" t="str">
        <f t="shared" si="1"/>
        <v/>
      </c>
      <c r="O62" s="173" t="str">
        <f t="shared" si="0"/>
        <v/>
      </c>
      <c r="P62" s="174" t="str">
        <f>IF(OR($B62="",$C$6&lt;&gt;HKI!$AB$6,HKI!$AD62=""),"",HKI!$AD62)</f>
        <v/>
      </c>
      <c r="Q62" s="174" t="str">
        <f t="shared" si="2"/>
        <v/>
      </c>
    </row>
    <row r="63" spans="1:17" ht="18" customHeight="1">
      <c r="A63" s="123" t="str">
        <f>IF(OR($C$6="",$I$6="",$L$6=""),"",IF($B63="","",SUBTOTAL(3,$B$11:B63)))</f>
        <v/>
      </c>
      <c r="B63" s="151" t="str">
        <f>IF(OR($C$6="",$I$6="",$L$6=""),"",IF(HKI!$B63="","",HKI!$B63))</f>
        <v/>
      </c>
      <c r="C63" s="26" t="str">
        <f>IF(OR($C$6="",$I$6="",$L$6=""),"",IF(HKI!$C63="","",HKI!$C63))</f>
        <v/>
      </c>
      <c r="D63" s="27" t="str">
        <f>IF(OR($C$6="",$I$6="",$L$6=""),"",IF(HKI!$D63="","",HKI!$D63))</f>
        <v/>
      </c>
      <c r="E63" s="143"/>
      <c r="F63" s="45"/>
      <c r="G63" s="45"/>
      <c r="H63" s="143"/>
      <c r="I63" s="143"/>
      <c r="J63" s="143"/>
      <c r="K63" s="143"/>
      <c r="L63" s="45"/>
      <c r="M63" s="45"/>
      <c r="N63" s="142" t="str">
        <f t="shared" si="1"/>
        <v/>
      </c>
      <c r="O63" s="173" t="str">
        <f t="shared" si="0"/>
        <v/>
      </c>
      <c r="P63" s="174" t="str">
        <f>IF(OR($B63="",$C$6&lt;&gt;HKI!$AB$6,HKI!$AD63=""),"",HKI!$AD63)</f>
        <v/>
      </c>
      <c r="Q63" s="174" t="str">
        <f t="shared" si="2"/>
        <v/>
      </c>
    </row>
    <row r="64" spans="1:17" ht="18" customHeight="1">
      <c r="A64" s="123" t="str">
        <f>IF(OR($C$6="",$I$6="",$L$6=""),"",IF($B64="","",SUBTOTAL(3,$B$11:B64)))</f>
        <v/>
      </c>
      <c r="B64" s="151" t="str">
        <f>IF(OR($C$6="",$I$6="",$L$6=""),"",IF(HKI!$B64="","",HKI!$B64))</f>
        <v/>
      </c>
      <c r="C64" s="26" t="str">
        <f>IF(OR($C$6="",$I$6="",$L$6=""),"",IF(HKI!$C64="","",HKI!$C64))</f>
        <v/>
      </c>
      <c r="D64" s="27" t="str">
        <f>IF(OR($C$6="",$I$6="",$L$6=""),"",IF(HKI!$D64="","",HKI!$D64))</f>
        <v/>
      </c>
      <c r="E64" s="143"/>
      <c r="F64" s="45"/>
      <c r="G64" s="45"/>
      <c r="H64" s="143"/>
      <c r="I64" s="143"/>
      <c r="J64" s="143"/>
      <c r="K64" s="143"/>
      <c r="L64" s="45"/>
      <c r="M64" s="45"/>
      <c r="N64" s="142" t="str">
        <f t="shared" si="1"/>
        <v/>
      </c>
      <c r="O64" s="173" t="str">
        <f t="shared" si="0"/>
        <v/>
      </c>
      <c r="P64" s="174" t="str">
        <f>IF(OR($B64="",$C$6&lt;&gt;HKI!$AB$6,HKI!$AD64=""),"",HKI!$AD64)</f>
        <v/>
      </c>
      <c r="Q64" s="174" t="str">
        <f t="shared" si="2"/>
        <v/>
      </c>
    </row>
    <row r="65" spans="1:17" ht="18" customHeight="1">
      <c r="A65" s="123" t="str">
        <f>IF(OR($C$6="",$I$6="",$L$6=""),"",IF($B65="","",SUBTOTAL(3,$B$11:B65)))</f>
        <v/>
      </c>
      <c r="B65" s="151" t="str">
        <f>IF(OR($C$6="",$I$6="",$L$6=""),"",IF(HKI!$B65="","",HKI!$B65))</f>
        <v/>
      </c>
      <c r="C65" s="26" t="str">
        <f>IF(OR($C$6="",$I$6="",$L$6=""),"",IF(HKI!$C65="","",HKI!$C65))</f>
        <v/>
      </c>
      <c r="D65" s="27" t="str">
        <f>IF(OR($C$6="",$I$6="",$L$6=""),"",IF(HKI!$D65="","",HKI!$D65))</f>
        <v/>
      </c>
      <c r="E65" s="143"/>
      <c r="F65" s="45"/>
      <c r="G65" s="45"/>
      <c r="H65" s="143"/>
      <c r="I65" s="143"/>
      <c r="J65" s="143"/>
      <c r="K65" s="143"/>
      <c r="L65" s="45"/>
      <c r="M65" s="45"/>
      <c r="N65" s="142" t="str">
        <f t="shared" si="1"/>
        <v/>
      </c>
      <c r="O65" s="173" t="str">
        <f t="shared" si="0"/>
        <v/>
      </c>
      <c r="P65" s="174" t="str">
        <f>IF(OR($B65="",$C$6&lt;&gt;HKI!$AB$6,HKI!$AD65=""),"",HKI!$AD65)</f>
        <v/>
      </c>
      <c r="Q65" s="174" t="str">
        <f t="shared" si="2"/>
        <v/>
      </c>
    </row>
    <row r="66" spans="1:17" ht="18" customHeight="1">
      <c r="A66" s="123" t="str">
        <f>IF(OR($C$6="",$I$6="",$L$6=""),"",IF($B66="","",SUBTOTAL(3,$B$11:B66)))</f>
        <v/>
      </c>
      <c r="B66" s="151" t="str">
        <f>IF(OR($C$6="",$I$6="",$L$6=""),"",IF(HKI!$B66="","",HKI!$B66))</f>
        <v/>
      </c>
      <c r="C66" s="26" t="str">
        <f>IF(OR($C$6="",$I$6="",$L$6=""),"",IF(HKI!$C66="","",HKI!$C66))</f>
        <v/>
      </c>
      <c r="D66" s="27" t="str">
        <f>IF(OR($C$6="",$I$6="",$L$6=""),"",IF(HKI!$D66="","",HKI!$D66))</f>
        <v/>
      </c>
      <c r="E66" s="143"/>
      <c r="F66" s="45"/>
      <c r="G66" s="45"/>
      <c r="H66" s="143"/>
      <c r="I66" s="143"/>
      <c r="J66" s="143"/>
      <c r="K66" s="143"/>
      <c r="L66" s="45"/>
      <c r="M66" s="45"/>
      <c r="N66" s="142" t="str">
        <f t="shared" si="1"/>
        <v/>
      </c>
      <c r="O66" s="173" t="str">
        <f t="shared" si="0"/>
        <v/>
      </c>
      <c r="P66" s="174" t="str">
        <f>IF(OR($B66="",$C$6&lt;&gt;HKI!$AB$6,HKI!$AD66=""),"",HKI!$AD66)</f>
        <v/>
      </c>
      <c r="Q66" s="174" t="str">
        <f t="shared" si="2"/>
        <v/>
      </c>
    </row>
    <row r="67" spans="1:17" ht="18" customHeight="1">
      <c r="A67" s="123" t="str">
        <f>IF(OR($C$6="",$I$6="",$L$6=""),"",IF($B67="","",SUBTOTAL(3,$B$11:B67)))</f>
        <v/>
      </c>
      <c r="B67" s="151" t="str">
        <f>IF(OR($C$6="",$I$6="",$L$6=""),"",IF(HKI!$B67="","",HKI!$B67))</f>
        <v/>
      </c>
      <c r="C67" s="26" t="str">
        <f>IF(OR($C$6="",$I$6="",$L$6=""),"",IF(HKI!$C67="","",HKI!$C67))</f>
        <v/>
      </c>
      <c r="D67" s="27" t="str">
        <f>IF(OR($C$6="",$I$6="",$L$6=""),"",IF(HKI!$D67="","",HKI!$D67))</f>
        <v/>
      </c>
      <c r="E67" s="143"/>
      <c r="F67" s="45"/>
      <c r="G67" s="45"/>
      <c r="H67" s="143"/>
      <c r="I67" s="143"/>
      <c r="J67" s="143"/>
      <c r="K67" s="143"/>
      <c r="L67" s="45"/>
      <c r="M67" s="45"/>
      <c r="N67" s="142" t="str">
        <f t="shared" si="1"/>
        <v/>
      </c>
      <c r="O67" s="173" t="str">
        <f t="shared" si="0"/>
        <v/>
      </c>
      <c r="P67" s="174" t="str">
        <f>IF(OR($B67="",$C$6&lt;&gt;HKI!$AB$6,HKI!$AD67=""),"",HKI!$AD67)</f>
        <v/>
      </c>
      <c r="Q67" s="174" t="str">
        <f t="shared" si="2"/>
        <v/>
      </c>
    </row>
    <row r="68" spans="1:17" ht="18" customHeight="1">
      <c r="A68" s="123" t="str">
        <f>IF(OR($C$6="",$I$6="",$L$6=""),"",IF($B68="","",SUBTOTAL(3,$B$11:B68)))</f>
        <v/>
      </c>
      <c r="B68" s="151" t="str">
        <f>IF(OR($C$6="",$I$6="",$L$6=""),"",IF(HKI!$B68="","",HKI!$B68))</f>
        <v/>
      </c>
      <c r="C68" s="26" t="str">
        <f>IF(OR($C$6="",$I$6="",$L$6=""),"",IF(HKI!$C68="","",HKI!$C68))</f>
        <v/>
      </c>
      <c r="D68" s="27" t="str">
        <f>IF(OR($C$6="",$I$6="",$L$6=""),"",IF(HKI!$D68="","",HKI!$D68))</f>
        <v/>
      </c>
      <c r="E68" s="143"/>
      <c r="F68" s="45"/>
      <c r="G68" s="45"/>
      <c r="H68" s="143"/>
      <c r="I68" s="143"/>
      <c r="J68" s="143"/>
      <c r="K68" s="143"/>
      <c r="L68" s="45"/>
      <c r="M68" s="45"/>
      <c r="N68" s="142" t="str">
        <f t="shared" si="1"/>
        <v/>
      </c>
      <c r="O68" s="173" t="str">
        <f t="shared" si="0"/>
        <v/>
      </c>
      <c r="P68" s="174" t="str">
        <f>IF(OR($B68="",$C$6&lt;&gt;HKI!$AB$6,HKI!$AD68=""),"",HKI!$AD68)</f>
        <v/>
      </c>
      <c r="Q68" s="174" t="str">
        <f t="shared" si="2"/>
        <v/>
      </c>
    </row>
    <row r="69" spans="1:17" ht="18" customHeight="1">
      <c r="A69" s="123" t="str">
        <f>IF(OR($C$6="",$I$6="",$L$6=""),"",IF($B69="","",SUBTOTAL(3,$B$11:B69)))</f>
        <v/>
      </c>
      <c r="B69" s="151" t="str">
        <f>IF(OR($C$6="",$I$6="",$L$6=""),"",IF(HKI!$B69="","",HKI!$B69))</f>
        <v/>
      </c>
      <c r="C69" s="26" t="str">
        <f>IF(OR($C$6="",$I$6="",$L$6=""),"",IF(HKI!$C69="","",HKI!$C69))</f>
        <v/>
      </c>
      <c r="D69" s="27" t="str">
        <f>IF(OR($C$6="",$I$6="",$L$6=""),"",IF(HKI!$D69="","",HKI!$D69))</f>
        <v/>
      </c>
      <c r="E69" s="143"/>
      <c r="F69" s="45"/>
      <c r="G69" s="45"/>
      <c r="H69" s="143"/>
      <c r="I69" s="143"/>
      <c r="J69" s="143"/>
      <c r="K69" s="143"/>
      <c r="L69" s="45"/>
      <c r="M69" s="45"/>
      <c r="N69" s="142" t="str">
        <f t="shared" si="1"/>
        <v/>
      </c>
      <c r="O69" s="173" t="str">
        <f t="shared" si="0"/>
        <v/>
      </c>
      <c r="P69" s="174" t="str">
        <f>IF(OR($B69="",$C$6&lt;&gt;HKI!$AB$6,HKI!$AD69=""),"",HKI!$AD69)</f>
        <v/>
      </c>
      <c r="Q69" s="174" t="str">
        <f t="shared" si="2"/>
        <v/>
      </c>
    </row>
    <row r="70" spans="1:17" ht="18" customHeight="1">
      <c r="A70" s="123" t="str">
        <f>IF(OR($C$6="",$I$6="",$L$6=""),"",IF($B70="","",SUBTOTAL(3,$B$11:B70)))</f>
        <v/>
      </c>
      <c r="B70" s="151" t="str">
        <f>IF(OR($C$6="",$I$6="",$L$6=""),"",IF(HKI!$B70="","",HKI!$B70))</f>
        <v/>
      </c>
      <c r="C70" s="26" t="str">
        <f>IF(OR($C$6="",$I$6="",$L$6=""),"",IF(HKI!$C70="","",HKI!$C70))</f>
        <v/>
      </c>
      <c r="D70" s="27" t="str">
        <f>IF(OR($C$6="",$I$6="",$L$6=""),"",IF(HKI!$D70="","",HKI!$D70))</f>
        <v/>
      </c>
      <c r="E70" s="45"/>
      <c r="F70" s="45"/>
      <c r="G70" s="45"/>
      <c r="H70" s="45"/>
      <c r="I70" s="45"/>
      <c r="J70" s="45"/>
      <c r="K70" s="45"/>
      <c r="L70" s="45"/>
      <c r="M70" s="45"/>
      <c r="N70" s="142" t="str">
        <f t="shared" si="1"/>
        <v/>
      </c>
      <c r="O70" s="173" t="str">
        <f t="shared" si="0"/>
        <v/>
      </c>
      <c r="P70" s="174" t="str">
        <f>IF(OR($B70="",$C$6&lt;&gt;HKI!$AB$6,HKI!$AD70=""),"",HKI!$AD70)</f>
        <v/>
      </c>
      <c r="Q70" s="174" t="str">
        <f t="shared" si="2"/>
        <v/>
      </c>
    </row>
    <row r="71" spans="1:17" ht="18" customHeight="1">
      <c r="A71" s="123" t="str">
        <f>IF(OR($C$6="",$I$6="",$L$6=""),"",IF($B71="","",SUBTOTAL(3,$B$11:B71)))</f>
        <v/>
      </c>
      <c r="B71" s="151" t="str">
        <f>IF(OR($C$6="",$I$6="",$L$6=""),"",IF(HKI!$B71="","",HKI!$B71))</f>
        <v/>
      </c>
      <c r="C71" s="26" t="str">
        <f>IF(OR($C$6="",$I$6="",$L$6=""),"",IF(HKI!$C71="","",HKI!$C71))</f>
        <v/>
      </c>
      <c r="D71" s="27" t="str">
        <f>IF(OR($C$6="",$I$6="",$L$6=""),"",IF(HKI!$D71="","",HKI!$D71))</f>
        <v/>
      </c>
      <c r="E71" s="143"/>
      <c r="F71" s="45"/>
      <c r="G71" s="45"/>
      <c r="H71" s="143"/>
      <c r="I71" s="143"/>
      <c r="J71" s="143"/>
      <c r="K71" s="143"/>
      <c r="L71" s="45"/>
      <c r="M71" s="45"/>
      <c r="N71" s="142" t="str">
        <f t="shared" si="1"/>
        <v/>
      </c>
      <c r="O71" s="173" t="str">
        <f t="shared" si="0"/>
        <v/>
      </c>
      <c r="P71" s="174" t="str">
        <f>IF(OR($B71="",$C$6&lt;&gt;HKI!$AB$6,HKI!$AD71=""),"",HKI!$AD71)</f>
        <v/>
      </c>
      <c r="Q71" s="174" t="str">
        <f t="shared" si="2"/>
        <v/>
      </c>
    </row>
    <row r="72" spans="1:17" ht="18" customHeight="1">
      <c r="A72" s="123" t="str">
        <f>IF(OR($C$6="",$I$6="",$L$6=""),"",IF($B72="","",SUBTOTAL(3,$B$11:B72)))</f>
        <v/>
      </c>
      <c r="B72" s="151" t="str">
        <f>IF(OR($C$6="",$I$6="",$L$6=""),"",IF(HKI!$B72="","",HKI!$B72))</f>
        <v/>
      </c>
      <c r="C72" s="26" t="str">
        <f>IF(OR($C$6="",$I$6="",$L$6=""),"",IF(HKI!$C72="","",HKI!$C72))</f>
        <v/>
      </c>
      <c r="D72" s="27" t="str">
        <f>IF(OR($C$6="",$I$6="",$L$6=""),"",IF(HKI!$D72="","",HKI!$D72))</f>
        <v/>
      </c>
      <c r="E72" s="143"/>
      <c r="F72" s="45"/>
      <c r="G72" s="45"/>
      <c r="H72" s="143"/>
      <c r="I72" s="143"/>
      <c r="J72" s="143"/>
      <c r="K72" s="143"/>
      <c r="L72" s="45"/>
      <c r="M72" s="45"/>
      <c r="N72" s="142" t="str">
        <f t="shared" si="1"/>
        <v/>
      </c>
      <c r="O72" s="173" t="str">
        <f t="shared" si="0"/>
        <v/>
      </c>
      <c r="P72" s="174" t="str">
        <f>IF(OR($B72="",$C$6&lt;&gt;HKI!$AB$6,HKI!$AD72=""),"",HKI!$AD72)</f>
        <v/>
      </c>
      <c r="Q72" s="174" t="str">
        <f t="shared" si="2"/>
        <v/>
      </c>
    </row>
    <row r="73" spans="1:17" ht="18" customHeight="1">
      <c r="A73" s="123" t="str">
        <f>IF(OR($C$6="",$I$6="",$L$6=""),"",IF($B73="","",SUBTOTAL(3,$B$11:B73)))</f>
        <v/>
      </c>
      <c r="B73" s="151" t="str">
        <f>IF(OR($C$6="",$I$6="",$L$6=""),"",IF(HKI!$B73="","",HKI!$B73))</f>
        <v/>
      </c>
      <c r="C73" s="26" t="str">
        <f>IF(OR($C$6="",$I$6="",$L$6=""),"",IF(HKI!$C73="","",HKI!$C73))</f>
        <v/>
      </c>
      <c r="D73" s="27" t="str">
        <f>IF(OR($C$6="",$I$6="",$L$6=""),"",IF(HKI!$D73="","",HKI!$D73))</f>
        <v/>
      </c>
      <c r="E73" s="143"/>
      <c r="F73" s="45"/>
      <c r="G73" s="45"/>
      <c r="H73" s="143"/>
      <c r="I73" s="143"/>
      <c r="J73" s="143"/>
      <c r="K73" s="143"/>
      <c r="L73" s="45"/>
      <c r="M73" s="45"/>
      <c r="N73" s="142" t="str">
        <f t="shared" si="1"/>
        <v/>
      </c>
      <c r="O73" s="173" t="str">
        <f t="shared" si="0"/>
        <v/>
      </c>
      <c r="P73" s="174" t="str">
        <f>IF(OR($B73="",$C$6&lt;&gt;HKI!$AB$6,HKI!$AD73=""),"",HKI!$AD73)</f>
        <v/>
      </c>
      <c r="Q73" s="174" t="str">
        <f t="shared" si="2"/>
        <v/>
      </c>
    </row>
    <row r="74" spans="1:17" ht="18" customHeight="1">
      <c r="A74" s="123" t="str">
        <f>IF(OR($C$6="",$I$6="",$L$6=""),"",IF($B74="","",SUBTOTAL(3,$B$11:B74)))</f>
        <v/>
      </c>
      <c r="B74" s="151" t="str">
        <f>IF(OR($C$6="",$I$6="",$L$6=""),"",IF(HKI!$B74="","",HKI!$B74))</f>
        <v/>
      </c>
      <c r="C74" s="26" t="str">
        <f>IF(OR($C$6="",$I$6="",$L$6=""),"",IF(HKI!$C74="","",HKI!$C74))</f>
        <v/>
      </c>
      <c r="D74" s="27" t="str">
        <f>IF(OR($C$6="",$I$6="",$L$6=""),"",IF(HKI!$D74="","",HKI!$D74))</f>
        <v/>
      </c>
      <c r="E74" s="143"/>
      <c r="F74" s="45"/>
      <c r="G74" s="45"/>
      <c r="H74" s="143"/>
      <c r="I74" s="143"/>
      <c r="J74" s="143"/>
      <c r="K74" s="143"/>
      <c r="L74" s="45"/>
      <c r="M74" s="45"/>
      <c r="N74" s="142" t="str">
        <f t="shared" si="1"/>
        <v/>
      </c>
      <c r="O74" s="173" t="str">
        <f t="shared" si="0"/>
        <v/>
      </c>
      <c r="P74" s="174" t="str">
        <f>IF(OR($B74="",$C$6&lt;&gt;HKI!$AB$6,HKI!$AD74=""),"",HKI!$AD74)</f>
        <v/>
      </c>
      <c r="Q74" s="174" t="str">
        <f t="shared" si="2"/>
        <v/>
      </c>
    </row>
    <row r="75" spans="1:17" ht="18" customHeight="1">
      <c r="A75" s="123" t="str">
        <f>IF(OR($C$6="",$I$6="",$L$6=""),"",IF($B75="","",SUBTOTAL(3,$B$11:B75)))</f>
        <v/>
      </c>
      <c r="B75" s="151" t="str">
        <f>IF(OR($C$6="",$I$6="",$L$6=""),"",IF(HKI!$B75="","",HKI!$B75))</f>
        <v/>
      </c>
      <c r="C75" s="26" t="str">
        <f>IF(OR($C$6="",$I$6="",$L$6=""),"",IF(HKI!$C75="","",HKI!$C75))</f>
        <v/>
      </c>
      <c r="D75" s="27" t="str">
        <f>IF(OR($C$6="",$I$6="",$L$6=""),"",IF(HKI!$D75="","",HKI!$D75))</f>
        <v/>
      </c>
      <c r="E75" s="143"/>
      <c r="F75" s="45"/>
      <c r="G75" s="45"/>
      <c r="H75" s="143"/>
      <c r="I75" s="143"/>
      <c r="J75" s="143"/>
      <c r="K75" s="143"/>
      <c r="L75" s="45"/>
      <c r="M75" s="45"/>
      <c r="N75" s="142" t="str">
        <f t="shared" si="1"/>
        <v/>
      </c>
      <c r="O75" s="173" t="str">
        <f t="shared" ref="O75:O80" si="3">IF($B75="","",IF($N75="","KXL",IF($N75&lt;4,"Kém",IF($N75&lt;5.5,"TB Yếu",IF($N75&lt;7,"T.Bình",IF($N75&lt;8.5,"Khá","Giỏi"))))))</f>
        <v/>
      </c>
      <c r="P75" s="174" t="str">
        <f>IF(OR($B75="",$C$6&lt;&gt;HKI!$AB$6,HKI!$AD75=""),"",HKI!$AD75)</f>
        <v/>
      </c>
      <c r="Q75" s="174" t="str">
        <f t="shared" si="2"/>
        <v/>
      </c>
    </row>
    <row r="76" spans="1:17" ht="18" customHeight="1">
      <c r="A76" s="123" t="str">
        <f>IF(OR($C$6="",$I$6="",$L$6=""),"",IF($B76="","",SUBTOTAL(3,$B$11:B76)))</f>
        <v/>
      </c>
      <c r="B76" s="151" t="str">
        <f>IF(OR($C$6="",$I$6="",$L$6=""),"",IF(HKI!$B76="","",HKI!$B76))</f>
        <v/>
      </c>
      <c r="C76" s="26" t="str">
        <f>IF(OR($C$6="",$I$6="",$L$6=""),"",IF(HKI!$C76="","",HKI!$C76))</f>
        <v/>
      </c>
      <c r="D76" s="27" t="str">
        <f>IF(OR($C$6="",$I$6="",$L$6=""),"",IF(HKI!$D76="","",HKI!$D76))</f>
        <v/>
      </c>
      <c r="E76" s="143"/>
      <c r="F76" s="45"/>
      <c r="G76" s="45"/>
      <c r="H76" s="143"/>
      <c r="I76" s="143"/>
      <c r="J76" s="143"/>
      <c r="K76" s="143"/>
      <c r="L76" s="45"/>
      <c r="M76" s="45"/>
      <c r="N76" s="142" t="str">
        <f>IF($B76="","",IF(ISNUMBER($E76)=TRUE,$E76,IF(COUNT($F76:$M76)=0,"",IF(COUNT($F76:$K76)=0,ROUND(0.3*$L76+0.5*$M76,1),ROUND(0.2*(SUM($F76:$K76)/COUNT($F76:$K76))+0.3*$L76+0.5*$M76,1)))))</f>
        <v/>
      </c>
      <c r="O76" s="173" t="str">
        <f t="shared" si="3"/>
        <v/>
      </c>
      <c r="P76" s="174" t="str">
        <f>IF(OR($B76="",$C$6&lt;&gt;HKI!$AB$6,HKI!$AD76=""),"",HKI!$AD76)</f>
        <v/>
      </c>
      <c r="Q76" s="174" t="str">
        <f>IF(OR(ISNUMBER($E76)=TRUE,$B76="",$P76=""),"",IF(COUNT($F76:$M76)=0,"",IF($M76&gt;=$P76,$N76,IF(COUNT($F76:$K76)=0,ROUND(0.3*$L76+0.5*$P76,1),ROUND(0.2*(SUM($F76:$K76)/COUNT($F76:$K76))+0.3*$L76+0.5*$P76,1)))))</f>
        <v/>
      </c>
    </row>
    <row r="77" spans="1:17" ht="18" customHeight="1">
      <c r="A77" s="123" t="str">
        <f>IF(OR($C$6="",$I$6="",$L$6=""),"",IF($B77="","",SUBTOTAL(3,$B$11:B77)))</f>
        <v/>
      </c>
      <c r="B77" s="151" t="str">
        <f>IF(OR($C$6="",$I$6="",$L$6=""),"",IF(HKI!$B77="","",HKI!$B77))</f>
        <v/>
      </c>
      <c r="C77" s="26" t="str">
        <f>IF(OR($C$6="",$I$6="",$L$6=""),"",IF(HKI!$C77="","",HKI!$C77))</f>
        <v/>
      </c>
      <c r="D77" s="27" t="str">
        <f>IF(OR($C$6="",$I$6="",$L$6=""),"",IF(HKI!$D77="","",HKI!$D77))</f>
        <v/>
      </c>
      <c r="E77" s="143"/>
      <c r="F77" s="45"/>
      <c r="G77" s="45"/>
      <c r="H77" s="143"/>
      <c r="I77" s="143"/>
      <c r="J77" s="143"/>
      <c r="K77" s="143"/>
      <c r="L77" s="45"/>
      <c r="M77" s="45"/>
      <c r="N77" s="142" t="str">
        <f>IF($B77="","",IF(ISNUMBER($E77)=TRUE,$E77,IF(COUNT($F77:$M77)=0,"",IF(COUNT($F77:$K77)=0,ROUND(0.3*$L77+0.5*$M77,1),ROUND(0.2*(SUM($F77:$K77)/COUNT($F77:$K77))+0.3*$L77+0.5*$M77,1)))))</f>
        <v/>
      </c>
      <c r="O77" s="173" t="str">
        <f t="shared" si="3"/>
        <v/>
      </c>
      <c r="P77" s="174" t="str">
        <f>IF(OR($B77="",$C$6&lt;&gt;HKI!$AB$6,HKI!$AD77=""),"",HKI!$AD77)</f>
        <v/>
      </c>
      <c r="Q77" s="174" t="str">
        <f>IF(OR(ISNUMBER($E77)=TRUE,$B77="",$P77=""),"",IF(COUNT($F77:$M77)=0,"",IF($M77&gt;=$P77,$N77,IF(COUNT($F77:$K77)=0,ROUND(0.3*$L77+0.5*$P77,1),ROUND(0.2*(SUM($F77:$K77)/COUNT($F77:$K77))+0.3*$L77+0.5*$P77,1)))))</f>
        <v/>
      </c>
    </row>
    <row r="78" spans="1:17" ht="18" customHeight="1">
      <c r="A78" s="123" t="str">
        <f>IF(OR($C$6="",$I$6="",$L$6=""),"",IF($B78="","",SUBTOTAL(3,$B$11:B78)))</f>
        <v/>
      </c>
      <c r="B78" s="151" t="str">
        <f>IF(OR($C$6="",$I$6="",$L$6=""),"",IF(HKI!$B78="","",HKI!$B78))</f>
        <v/>
      </c>
      <c r="C78" s="26" t="str">
        <f>IF(OR($C$6="",$I$6="",$L$6=""),"",IF(HKI!$C78="","",HKI!$C78))</f>
        <v/>
      </c>
      <c r="D78" s="27" t="str">
        <f>IF(OR($C$6="",$I$6="",$L$6=""),"",IF(HKI!$D78="","",HKI!$D78))</f>
        <v/>
      </c>
      <c r="E78" s="143"/>
      <c r="F78" s="45"/>
      <c r="G78" s="45"/>
      <c r="H78" s="143"/>
      <c r="I78" s="143"/>
      <c r="J78" s="143"/>
      <c r="K78" s="143"/>
      <c r="L78" s="45"/>
      <c r="M78" s="45"/>
      <c r="N78" s="142" t="str">
        <f>IF($B78="","",IF(ISNUMBER($E78)=TRUE,$E78,IF(COUNT($F78:$M78)=0,"",IF(COUNT($F78:$K78)=0,ROUND(0.3*$L78+0.5*$M78,1),ROUND(0.2*(SUM($F78:$K78)/COUNT($F78:$K78))+0.3*$L78+0.5*$M78,1)))))</f>
        <v/>
      </c>
      <c r="O78" s="173" t="str">
        <f t="shared" si="3"/>
        <v/>
      </c>
      <c r="P78" s="174" t="str">
        <f>IF(OR($B78="",$C$6&lt;&gt;HKI!$AB$6,HKI!$AD78=""),"",HKI!$AD78)</f>
        <v/>
      </c>
      <c r="Q78" s="174" t="str">
        <f>IF(OR(ISNUMBER($E78)=TRUE,$B78="",$P78=""),"",IF(COUNT($F78:$M78)=0,"",IF($M78&gt;=$P78,$N78,IF(COUNT($F78:$K78)=0,ROUND(0.3*$L78+0.5*$P78,1),ROUND(0.2*(SUM($F78:$K78)/COUNT($F78:$K78))+0.3*$L78+0.5*$P78,1)))))</f>
        <v/>
      </c>
    </row>
    <row r="79" spans="1:17" ht="18" customHeight="1">
      <c r="A79" s="123" t="str">
        <f>IF(OR($C$6="",$I$6="",$L$6=""),"",IF($B79="","",SUBTOTAL(3,$B$11:B79)))</f>
        <v/>
      </c>
      <c r="B79" s="151" t="str">
        <f>IF(OR($C$6="",$I$6="",$L$6=""),"",IF(HKI!$B79="","",HKI!$B79))</f>
        <v/>
      </c>
      <c r="C79" s="26" t="str">
        <f>IF(OR($C$6="",$I$6="",$L$6=""),"",IF(HKI!$C79="","",HKI!$C79))</f>
        <v/>
      </c>
      <c r="D79" s="27" t="str">
        <f>IF(OR($C$6="",$I$6="",$L$6=""),"",IF(HKI!$D79="","",HKI!$D79))</f>
        <v/>
      </c>
      <c r="E79" s="143"/>
      <c r="F79" s="45"/>
      <c r="G79" s="45"/>
      <c r="H79" s="143"/>
      <c r="I79" s="143"/>
      <c r="J79" s="143"/>
      <c r="K79" s="143"/>
      <c r="L79" s="45"/>
      <c r="M79" s="45"/>
      <c r="N79" s="142" t="str">
        <f>IF($B79="","",IF(ISNUMBER($E79)=TRUE,$E79,IF(COUNT($F79:$M79)=0,"",IF(COUNT($F79:$K79)=0,ROUND(0.3*$L79+0.5*$M79,1),ROUND(0.2*(SUM($F79:$K79)/COUNT($F79:$K79))+0.3*$L79+0.5*$M79,1)))))</f>
        <v/>
      </c>
      <c r="O79" s="173" t="str">
        <f t="shared" si="3"/>
        <v/>
      </c>
      <c r="P79" s="174" t="str">
        <f>IF(OR($B79="",$C$6&lt;&gt;HKI!$AB$6,HKI!$AD79=""),"",HKI!$AD79)</f>
        <v/>
      </c>
      <c r="Q79" s="174" t="str">
        <f>IF(OR(ISNUMBER($E79)=TRUE,$B79="",$P79=""),"",IF(COUNT($F79:$M79)=0,"",IF($M79&gt;=$P79,$N79,IF(COUNT($F79:$K79)=0,ROUND(0.3*$L79+0.5*$P79,1),ROUND(0.2*(SUM($F79:$K79)/COUNT($F79:$K79))+0.3*$L79+0.5*$P79,1)))))</f>
        <v/>
      </c>
    </row>
    <row r="80" spans="1:17" ht="18" customHeight="1">
      <c r="A80" s="123" t="str">
        <f>IF(OR($C$6="",$I$6="",$L$6=""),"",IF($B80="","",SUBTOTAL(3,$B$11:B80)))</f>
        <v/>
      </c>
      <c r="B80" s="151" t="str">
        <f>IF(OR($C$6="",$I$6="",$L$6=""),"",IF(HKI!$B80="","",HKI!$B80))</f>
        <v/>
      </c>
      <c r="C80" s="26" t="str">
        <f>IF(OR($C$6="",$I$6="",$L$6=""),"",IF(HKI!$C80="","",HKI!$C80))</f>
        <v/>
      </c>
      <c r="D80" s="27" t="str">
        <f>IF(OR($C$6="",$I$6="",$L$6=""),"",IF(HKI!$D80="","",HKI!$D80))</f>
        <v/>
      </c>
      <c r="E80" s="143"/>
      <c r="F80" s="45"/>
      <c r="G80" s="45"/>
      <c r="H80" s="143"/>
      <c r="I80" s="143"/>
      <c r="J80" s="143"/>
      <c r="K80" s="143"/>
      <c r="L80" s="45"/>
      <c r="M80" s="45"/>
      <c r="N80" s="142" t="str">
        <f>IF($B80="","",IF(ISNUMBER($E80)=TRUE,$E80,IF(COUNT($F80:$M80)=0,"",IF(COUNT($F80:$K80)=0,ROUND(0.3*$L80+0.5*$M80,1),ROUND(0.2*(SUM($F80:$K80)/COUNT($F80:$K80))+0.3*$L80+0.5*$M80,1)))))</f>
        <v/>
      </c>
      <c r="O80" s="173" t="str">
        <f t="shared" si="3"/>
        <v/>
      </c>
      <c r="P80" s="174" t="str">
        <f>IF(OR($B80="",$C$6&lt;&gt;HKI!$AB$6,HKI!$AD80=""),"",HKI!$AD80)</f>
        <v/>
      </c>
      <c r="Q80" s="174" t="str">
        <f>IF(OR(ISNUMBER($E80)=TRUE,$B80="",$P80=""),"",IF(COUNT($F80:$M80)=0,"",IF($M80&gt;=$P80,$N80,IF(COUNT($F80:$K80)=0,ROUND(0.3*$L80+0.5*$P80,1),ROUND(0.2*(SUM($F80:$K80)/COUNT($F80:$K80))+0.3*$L80+0.5*$P80,1)))))</f>
        <v/>
      </c>
    </row>
    <row r="81" spans="1:16" s="146" customFormat="1" ht="17.25" customHeight="1">
      <c r="A81" s="653" t="s">
        <v>1459</v>
      </c>
      <c r="B81" s="653"/>
      <c r="C81" s="653"/>
      <c r="D81" s="653"/>
      <c r="E81" s="653"/>
      <c r="F81" s="653"/>
      <c r="G81" s="653"/>
      <c r="H81" s="653"/>
      <c r="I81" s="653"/>
      <c r="J81" s="653"/>
      <c r="K81" s="653"/>
      <c r="L81" s="653"/>
      <c r="M81" s="653"/>
      <c r="N81" s="163"/>
      <c r="O81" s="56"/>
      <c r="P81" s="56"/>
    </row>
    <row r="82" spans="1:16" s="146" customFormat="1">
      <c r="A82" s="136"/>
      <c r="B82" s="651" t="str">
        <f>"Tổng danh sách có"</f>
        <v>Tổng danh sách có</v>
      </c>
      <c r="C82" s="651"/>
      <c r="D82" s="651"/>
      <c r="E82" s="651"/>
      <c r="F82" s="176" t="str">
        <f>": "&amp;MAX($A$11:$A$80)&amp;" SV"</f>
        <v>: 0 SV</v>
      </c>
      <c r="K82" s="147"/>
      <c r="L82" s="147"/>
      <c r="M82" s="147"/>
      <c r="N82" s="147"/>
      <c r="O82" s="136"/>
    </row>
    <row r="83" spans="1:16" s="146" customFormat="1">
      <c r="A83" s="148"/>
      <c r="B83" s="643" t="str">
        <f>"Tổng số SV có điểm Giỏi từ 8,5 đ đến 10 đ"</f>
        <v>Tổng số SV có điểm Giỏi từ 8,5 đ đến 10 đ</v>
      </c>
      <c r="C83" s="643"/>
      <c r="D83" s="643"/>
      <c r="E83" s="643"/>
      <c r="F83" s="153" t="str">
        <f>": "&amp;COUNTIF($O$11:$O$80,"Giỏi")&amp;" SV"</f>
        <v>: 0 SV</v>
      </c>
      <c r="H83" s="153" t="str">
        <f>IF(B21="","","("&amp;ROUND(COUNTIF($O$11:$O$80,"Giỏi")*100/MAX($A$11:$A$78),2)&amp;"%" &amp;")")</f>
        <v/>
      </c>
      <c r="I83" s="153"/>
      <c r="J83" s="153"/>
      <c r="K83" s="645" t="str">
        <f>IF(B11="","","Tổng số SV có điểm &gt;= 4 đ : "&amp;COUNTIF(N11:N80,"&gt;=4")&amp;" SV"&amp;" ("&amp;ROUND(COUNTIF(N11:N80,"&gt;=4")*100/MAX($A$11:$A$80),2)&amp;"%" &amp;")")</f>
        <v/>
      </c>
      <c r="L83" s="645"/>
      <c r="M83" s="645"/>
      <c r="N83" s="645"/>
      <c r="O83" s="13"/>
    </row>
    <row r="84" spans="1:16" s="146" customFormat="1">
      <c r="A84" s="148"/>
      <c r="B84" s="643" t="str">
        <f>"Tổng số SV có điểm Khá từ 7 đ đến &lt;8,5 đ"</f>
        <v>Tổng số SV có điểm Khá từ 7 đ đến &lt;8,5 đ</v>
      </c>
      <c r="C84" s="643"/>
      <c r="D84" s="643"/>
      <c r="E84" s="643"/>
      <c r="F84" s="153" t="str">
        <f>": "&amp;COUNTIF($O$11:$O$80,"Khá")&amp;" SV"</f>
        <v>: 0 SV</v>
      </c>
      <c r="H84" s="153" t="str">
        <f>IF(B21="","","("&amp;ROUND(COUNTIF($O$11:$O$80,"Khá")*100/MAX($A$11:$A$78),2)&amp;"%" &amp;")")</f>
        <v/>
      </c>
      <c r="I84" s="153"/>
      <c r="J84" s="153"/>
      <c r="K84" s="645"/>
      <c r="L84" s="645"/>
      <c r="M84" s="645"/>
      <c r="N84" s="645"/>
      <c r="O84" s="13"/>
    </row>
    <row r="85" spans="1:16" s="146" customFormat="1">
      <c r="A85" s="148"/>
      <c r="B85" s="643" t="str">
        <f>"Tổng số SV có điểm Trung bình từ 5,5 đ đến &lt;7 đ"</f>
        <v>Tổng số SV có điểm Trung bình từ 5,5 đ đến &lt;7 đ</v>
      </c>
      <c r="C85" s="643"/>
      <c r="D85" s="643"/>
      <c r="E85" s="643"/>
      <c r="F85" s="153" t="str">
        <f>": "&amp;COUNTIF($O$11:$O$80,"T.Bình")&amp;" SV"</f>
        <v>: 0 SV</v>
      </c>
      <c r="H85" s="153" t="str">
        <f>IF(B21="","","("&amp;ROUND(COUNTIF($O$11:$O$80,"TB")*100/MAX($A$11:$A$78),2)&amp;"%" &amp;")")</f>
        <v/>
      </c>
      <c r="I85" s="153"/>
      <c r="J85" s="153"/>
      <c r="K85" s="645"/>
      <c r="L85" s="645"/>
      <c r="M85" s="645"/>
      <c r="N85" s="645"/>
      <c r="O85" s="13"/>
    </row>
    <row r="86" spans="1:16" s="146" customFormat="1" ht="12.75" customHeight="1">
      <c r="A86" s="148"/>
      <c r="B86" s="643" t="str">
        <f>"Tổng số SV có điểm Trung bình yếu từ 4 đ đến &lt;5,5 đ"</f>
        <v>Tổng số SV có điểm Trung bình yếu từ 4 đ đến &lt;5,5 đ</v>
      </c>
      <c r="C86" s="643"/>
      <c r="D86" s="643"/>
      <c r="E86" s="643"/>
      <c r="F86" s="153" t="str">
        <f>": "&amp;COUNTIF($O$11:$O$80,"TB Yếu")&amp;" SV"</f>
        <v>: 0 SV</v>
      </c>
      <c r="H86" s="153" t="str">
        <f>IF(B21="","","("&amp;ROUND(COUNTIF($O$11:$O$80,"TBY")*100/MAX($A$11:$A$78),2)&amp;"%" &amp;")")</f>
        <v/>
      </c>
      <c r="I86" s="153"/>
      <c r="J86" s="153"/>
      <c r="K86" s="644" t="str">
        <f>IF(B11="","","Tổng số SV có điểm &lt; 4 đ : "&amp;COUNTIF(N11:N80,"&lt;4")&amp;" SV"&amp;" ("&amp;ROUND(COUNTIF(N11:N80,"&lt;4")*100/MAX($A$11:$A$80),2)&amp;"%" &amp;")")</f>
        <v/>
      </c>
      <c r="L86" s="644"/>
      <c r="M86" s="644"/>
      <c r="N86" s="644"/>
      <c r="O86" s="28"/>
    </row>
    <row r="87" spans="1:16" s="146" customFormat="1">
      <c r="A87" s="148"/>
      <c r="B87" s="643" t="str">
        <f>"Tổng số SV có điểm kém &lt;4 đ"</f>
        <v>Tổng số SV có điểm kém &lt;4 đ</v>
      </c>
      <c r="C87" s="643"/>
      <c r="D87" s="643"/>
      <c r="E87" s="643"/>
      <c r="F87" s="153" t="str">
        <f>": "&amp;COUNTIF($O$11:$O$80,"Kém")&amp;" SV"</f>
        <v>: 0 SV</v>
      </c>
      <c r="H87" s="153" t="str">
        <f>IF(B21="","","("&amp;ROUND(COUNTIF($O$11:$O$80,"Kém")*100/MAX($A$11:$A$78),2)&amp;"%"&amp;")")</f>
        <v/>
      </c>
      <c r="I87" s="153"/>
      <c r="J87" s="153"/>
      <c r="K87" s="644"/>
      <c r="L87" s="644"/>
      <c r="M87" s="644"/>
      <c r="N87" s="644"/>
      <c r="O87" s="28"/>
    </row>
    <row r="88" spans="1:16" s="146" customFormat="1" ht="12.75" customHeight="1">
      <c r="A88" s="148"/>
      <c r="B88" s="643" t="str">
        <f>"Tổng số SV không xếp loại vì chưa đủ điều kiện"</f>
        <v>Tổng số SV không xếp loại vì chưa đủ điều kiện</v>
      </c>
      <c r="C88" s="643"/>
      <c r="D88" s="643"/>
      <c r="E88" s="643"/>
      <c r="F88" s="153" t="str">
        <f>": "&amp;COUNTIF($O$11:$O$80,"KXL")&amp;" SV"</f>
        <v>: 0 SV</v>
      </c>
      <c r="H88" s="153" t="str">
        <f>IF(B21="","","("&amp;ROUND(COUNTIF($O$11:$O$80,"KXL")*100/MAX($A$11:$A$78),2)&amp;"%"&amp;")")</f>
        <v/>
      </c>
      <c r="I88" s="153"/>
      <c r="J88" s="153"/>
      <c r="K88" s="644"/>
      <c r="L88" s="644"/>
      <c r="M88" s="644"/>
      <c r="N88" s="644"/>
      <c r="O88" s="28"/>
    </row>
    <row r="89" spans="1:16" ht="15.75">
      <c r="B89" s="149"/>
      <c r="C89" s="149"/>
      <c r="D89" s="149"/>
      <c r="E89" s="149"/>
      <c r="F89" s="149"/>
      <c r="G89" s="149"/>
      <c r="H89" s="149"/>
      <c r="I89" s="149"/>
      <c r="J89" s="149"/>
      <c r="K89" s="149"/>
      <c r="L89" s="149"/>
      <c r="M89" s="149"/>
      <c r="N89" s="149"/>
    </row>
    <row r="90" spans="1:16" ht="15.75" customHeight="1">
      <c r="A90" s="636" t="s">
        <v>190</v>
      </c>
      <c r="B90" s="636"/>
      <c r="C90" s="636"/>
      <c r="D90" s="636" t="s">
        <v>256</v>
      </c>
      <c r="E90" s="636"/>
      <c r="F90" s="636"/>
      <c r="G90" s="636"/>
      <c r="H90" s="138"/>
      <c r="I90" s="138"/>
      <c r="J90" s="636" t="s">
        <v>257</v>
      </c>
      <c r="K90" s="636"/>
      <c r="L90" s="636"/>
      <c r="M90" s="636"/>
      <c r="N90" s="636"/>
      <c r="O90" s="636"/>
    </row>
  </sheetData>
  <sheetProtection sheet="1" formatCells="0" formatColumns="0" formatRows="0" autoFilter="0"/>
  <dataConsolidate/>
  <mergeCells count="44">
    <mergeCell ref="C6:F6"/>
    <mergeCell ref="D7:E7"/>
    <mergeCell ref="F8:F9"/>
    <mergeCell ref="P8:P9"/>
    <mergeCell ref="A1:F1"/>
    <mergeCell ref="A3:F3"/>
    <mergeCell ref="J7:L7"/>
    <mergeCell ref="H7:I7"/>
    <mergeCell ref="A6:B6"/>
    <mergeCell ref="A2:F2"/>
    <mergeCell ref="H2:N2"/>
    <mergeCell ref="A5:L5"/>
    <mergeCell ref="G6:H6"/>
    <mergeCell ref="A4:N4"/>
    <mergeCell ref="L6:M6"/>
    <mergeCell ref="H1:N1"/>
    <mergeCell ref="B83:E83"/>
    <mergeCell ref="B84:E84"/>
    <mergeCell ref="B82:E82"/>
    <mergeCell ref="E8:E10"/>
    <mergeCell ref="A81:M81"/>
    <mergeCell ref="J8:J9"/>
    <mergeCell ref="A8:A10"/>
    <mergeCell ref="I8:I9"/>
    <mergeCell ref="K83:N85"/>
    <mergeCell ref="B8:B10"/>
    <mergeCell ref="C8:D10"/>
    <mergeCell ref="B85:E85"/>
    <mergeCell ref="Q8:Q10"/>
    <mergeCell ref="L8:L9"/>
    <mergeCell ref="M8:M9"/>
    <mergeCell ref="F10:K10"/>
    <mergeCell ref="O8:O10"/>
    <mergeCell ref="G8:G9"/>
    <mergeCell ref="N8:N10"/>
    <mergeCell ref="H8:H9"/>
    <mergeCell ref="K8:K9"/>
    <mergeCell ref="J90:O90"/>
    <mergeCell ref="A90:C90"/>
    <mergeCell ref="D90:G90"/>
    <mergeCell ref="B86:E86"/>
    <mergeCell ref="K86:N88"/>
    <mergeCell ref="B88:E88"/>
    <mergeCell ref="B87:E87"/>
  </mergeCells>
  <phoneticPr fontId="11" type="noConversion"/>
  <conditionalFormatting sqref="N11:N80">
    <cfRule type="cellIs" dxfId="5" priority="1" stopIfTrue="1" operator="lessThan">
      <formula>4</formula>
    </cfRule>
  </conditionalFormatting>
  <dataValidations count="2">
    <dataValidation type="decimal" allowBlank="1" showInputMessage="1" showErrorMessage="1" errorTitle="Nhap sai" error="Hãy nhập lại_x000a_0 ≤ Điểm ≤ 10" sqref="M70">
      <formula1>0</formula1>
      <formula2>10</formula2>
    </dataValidation>
    <dataValidation type="whole" allowBlank="1" showInputMessage="1" showErrorMessage="1" errorTitle="Nhap sai" error="Hãy nhập lại_x000a_0 ≤ Điểm ≤ 10" sqref="F70:L70">
      <formula1>0</formula1>
      <formula2>10</formula2>
    </dataValidation>
  </dataValidations>
  <printOptions horizontalCentered="1"/>
  <pageMargins left="0.5" right="0" top="0.25" bottom="0.25" header="0.25" footer="0.25"/>
  <pageSetup paperSize="9" scale="90" orientation="portrait" horizontalDpi="1200" verticalDpi="1200"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Q90"/>
  <sheetViews>
    <sheetView workbookViewId="0">
      <selection activeCell="E11" sqref="E11"/>
    </sheetView>
  </sheetViews>
  <sheetFormatPr defaultRowHeight="12.75"/>
  <cols>
    <col min="1" max="1" width="3.85546875" style="4" bestFit="1" customWidth="1"/>
    <col min="2" max="2" width="11.85546875" style="4" customWidth="1"/>
    <col min="3" max="3" width="18.85546875" style="4" bestFit="1" customWidth="1"/>
    <col min="4" max="4" width="7.5703125" style="4" bestFit="1" customWidth="1"/>
    <col min="5" max="5" width="6" style="4" bestFit="1" customWidth="1"/>
    <col min="6" max="6" width="6.5703125" style="4" bestFit="1" customWidth="1"/>
    <col min="7" max="7" width="6.7109375" style="4" bestFit="1" customWidth="1"/>
    <col min="8" max="8" width="6.5703125" style="4" bestFit="1" customWidth="1"/>
    <col min="9" max="9" width="6.7109375" style="4" bestFit="1" customWidth="1"/>
    <col min="10" max="10" width="7" style="4" customWidth="1"/>
    <col min="11" max="11" width="6.7109375" style="4" bestFit="1" customWidth="1"/>
    <col min="12" max="12" width="6" style="4" customWidth="1"/>
    <col min="13" max="13" width="8.42578125" style="4" bestFit="1" customWidth="1"/>
    <col min="14" max="14" width="8" style="4" customWidth="1"/>
    <col min="15" max="17" width="6.42578125" style="4" hidden="1" customWidth="1"/>
    <col min="18" max="16384" width="9.140625" style="4"/>
  </cols>
  <sheetData>
    <row r="1" spans="1:17" s="136" customFormat="1" ht="15.75">
      <c r="A1" s="633" t="s">
        <v>2695</v>
      </c>
      <c r="B1" s="633"/>
      <c r="C1" s="633"/>
      <c r="D1" s="633"/>
      <c r="E1" s="633"/>
      <c r="F1" s="633"/>
      <c r="G1" s="140"/>
      <c r="H1" s="632" t="s">
        <v>249</v>
      </c>
      <c r="I1" s="632"/>
      <c r="J1" s="632"/>
      <c r="K1" s="632"/>
      <c r="L1" s="632"/>
      <c r="M1" s="632"/>
      <c r="N1" s="632"/>
      <c r="O1" s="155"/>
    </row>
    <row r="2" spans="1:17" s="136" customFormat="1" ht="29.25" customHeight="1">
      <c r="A2" s="631" t="s">
        <v>2687</v>
      </c>
      <c r="B2" s="632"/>
      <c r="C2" s="632"/>
      <c r="D2" s="632"/>
      <c r="E2" s="632"/>
      <c r="F2" s="632"/>
      <c r="G2" s="157"/>
      <c r="H2" s="638" t="s">
        <v>250</v>
      </c>
      <c r="I2" s="638"/>
      <c r="J2" s="638"/>
      <c r="K2" s="638"/>
      <c r="L2" s="638"/>
      <c r="M2" s="638"/>
      <c r="N2" s="638"/>
      <c r="O2" s="155"/>
    </row>
    <row r="3" spans="1:17" s="136" customFormat="1" ht="19.5" customHeight="1">
      <c r="A3" s="633"/>
      <c r="B3" s="633"/>
      <c r="C3" s="633"/>
      <c r="D3" s="633"/>
      <c r="E3" s="633"/>
      <c r="F3" s="633"/>
      <c r="I3" s="186"/>
      <c r="J3" s="147"/>
      <c r="K3" s="147"/>
      <c r="L3" s="147"/>
      <c r="M3" s="147"/>
      <c r="N3" s="147"/>
      <c r="O3" s="147"/>
    </row>
    <row r="4" spans="1:17" ht="21.75" customHeight="1">
      <c r="A4" s="660" t="s">
        <v>251</v>
      </c>
      <c r="B4" s="660"/>
      <c r="C4" s="660"/>
      <c r="D4" s="660"/>
      <c r="E4" s="660"/>
      <c r="F4" s="660"/>
      <c r="G4" s="660"/>
      <c r="H4" s="660"/>
      <c r="I4" s="660"/>
      <c r="J4" s="660"/>
      <c r="K4" s="660"/>
      <c r="L4" s="660"/>
      <c r="M4" s="660"/>
      <c r="N4" s="660"/>
    </row>
    <row r="5" spans="1:17" ht="9.75" customHeight="1">
      <c r="A5" s="660"/>
      <c r="B5" s="660"/>
      <c r="C5" s="660"/>
      <c r="D5" s="660"/>
      <c r="E5" s="660"/>
      <c r="F5" s="660"/>
      <c r="G5" s="660"/>
      <c r="H5" s="660"/>
      <c r="I5" s="660"/>
      <c r="J5" s="660"/>
      <c r="K5" s="660"/>
      <c r="L5" s="660"/>
    </row>
    <row r="6" spans="1:17" s="18" customFormat="1" ht="17.25" customHeight="1">
      <c r="B6" s="19" t="s">
        <v>252</v>
      </c>
      <c r="C6" s="637" t="str">
        <f>IF($L$6="","",IF(VLOOKUP($L$6,'LOP-MON'!$B$2:$N$43,8,FALSE)=0,"",VLOOKUP($L$6,'LOP-MON'!$B$2:$N$43,8,FALSE)))</f>
        <v/>
      </c>
      <c r="D6" s="637"/>
      <c r="E6" s="637"/>
      <c r="F6" s="637"/>
      <c r="G6" s="659" t="s">
        <v>271</v>
      </c>
      <c r="H6" s="659"/>
      <c r="I6" s="183" t="str">
        <f>IF(L6="","",IF(VLOOKUP(CONCATENATE("TC",MID(L6,1,4),MID(L6,6,3)),'LOP-MON'!$B$2:$N$43,8,FALSE)=0,"",VLOOKUP(CONCATENATE("TC",MID(L6,1,4),MID(L6,6,3)),'LOP-MON'!$B$2:$N$43,8,FALSE)))</f>
        <v/>
      </c>
      <c r="K6" s="19" t="s">
        <v>187</v>
      </c>
      <c r="L6" s="637" t="str">
        <f>HKI!$D$3</f>
        <v>13CĐ-Đ1</v>
      </c>
      <c r="M6" s="637"/>
    </row>
    <row r="7" spans="1:17" s="22" customFormat="1" ht="17.25" customHeight="1">
      <c r="C7" s="12" t="s">
        <v>253</v>
      </c>
      <c r="D7" s="661" t="s">
        <v>2693</v>
      </c>
      <c r="E7" s="661"/>
      <c r="G7" s="121"/>
      <c r="H7" s="661" t="s">
        <v>254</v>
      </c>
      <c r="I7" s="661"/>
      <c r="J7" s="661" t="s">
        <v>2694</v>
      </c>
      <c r="K7" s="661"/>
      <c r="L7" s="661"/>
      <c r="N7" s="23"/>
      <c r="O7" s="23"/>
    </row>
    <row r="8" spans="1:17" s="18" customFormat="1" ht="15" customHeight="1">
      <c r="A8" s="646" t="s">
        <v>255</v>
      </c>
      <c r="B8" s="646" t="s">
        <v>188</v>
      </c>
      <c r="C8" s="646" t="s">
        <v>189</v>
      </c>
      <c r="D8" s="646"/>
      <c r="E8" s="646" t="s">
        <v>259</v>
      </c>
      <c r="F8" s="640" t="s">
        <v>261</v>
      </c>
      <c r="G8" s="640" t="s">
        <v>262</v>
      </c>
      <c r="H8" s="640" t="s">
        <v>263</v>
      </c>
      <c r="I8" s="640" t="s">
        <v>264</v>
      </c>
      <c r="J8" s="640" t="s">
        <v>265</v>
      </c>
      <c r="K8" s="640" t="s">
        <v>266</v>
      </c>
      <c r="L8" s="640" t="s">
        <v>267</v>
      </c>
      <c r="M8" s="640" t="s">
        <v>268</v>
      </c>
      <c r="N8" s="640" t="s">
        <v>260</v>
      </c>
      <c r="O8" s="641" t="s">
        <v>258</v>
      </c>
      <c r="P8" s="641" t="s">
        <v>269</v>
      </c>
      <c r="Q8" s="641" t="s">
        <v>270</v>
      </c>
    </row>
    <row r="9" spans="1:17" s="24" customFormat="1" ht="28.5" customHeight="1">
      <c r="A9" s="646"/>
      <c r="B9" s="646"/>
      <c r="C9" s="646"/>
      <c r="D9" s="646"/>
      <c r="E9" s="646"/>
      <c r="F9" s="640"/>
      <c r="G9" s="640"/>
      <c r="H9" s="640"/>
      <c r="I9" s="640"/>
      <c r="J9" s="640"/>
      <c r="K9" s="640"/>
      <c r="L9" s="640"/>
      <c r="M9" s="640"/>
      <c r="N9" s="640"/>
      <c r="O9" s="641"/>
      <c r="P9" s="641"/>
      <c r="Q9" s="641"/>
    </row>
    <row r="10" spans="1:17" s="24" customFormat="1" ht="15.75">
      <c r="A10" s="646"/>
      <c r="B10" s="646"/>
      <c r="C10" s="646"/>
      <c r="D10" s="646"/>
      <c r="E10" s="646"/>
      <c r="F10" s="648">
        <v>0.2</v>
      </c>
      <c r="G10" s="640"/>
      <c r="H10" s="640"/>
      <c r="I10" s="640"/>
      <c r="J10" s="640"/>
      <c r="K10" s="640"/>
      <c r="L10" s="6">
        <v>0.3</v>
      </c>
      <c r="M10" s="6">
        <v>0.5</v>
      </c>
      <c r="N10" s="640"/>
      <c r="O10" s="641"/>
      <c r="P10" s="164">
        <v>0.5</v>
      </c>
      <c r="Q10" s="641"/>
    </row>
    <row r="11" spans="1:17" ht="18" customHeight="1">
      <c r="A11" s="1" t="str">
        <f>IF(OR($C$6="",$I$6="",$L$6=""),"",IF($B11="","",SUBTOTAL(3,$B$11:B11)))</f>
        <v/>
      </c>
      <c r="B11" s="25" t="str">
        <f>IF(OR($C$6="",$I$6="",$L$6=""),"",IF(HKI!$B11="","",HKI!$B11))</f>
        <v/>
      </c>
      <c r="C11" s="26" t="str">
        <f>IF(OR($C$6="",$I$6="",$L$6=""),"",IF(HKI!$C11="","",HKI!$C11))</f>
        <v/>
      </c>
      <c r="D11" s="27" t="str">
        <f>IF(OR($C$6="",$I$6="",$L$6=""),"",IF(HKI!$D11="","",HKI!$D11))</f>
        <v/>
      </c>
      <c r="E11" s="45"/>
      <c r="F11" s="66"/>
      <c r="G11" s="66"/>
      <c r="H11" s="53"/>
      <c r="I11" s="53"/>
      <c r="J11" s="53"/>
      <c r="K11" s="53"/>
      <c r="L11" s="66"/>
      <c r="M11" s="66"/>
      <c r="N11" s="8" t="str">
        <f>IF($B11="","",IF(ISNUMBER($E11)=TRUE,$E11,IF(COUNT($F11:$M11)=0,"",IF(COUNT($F11:$K11)=0,ROUND(0.3*$L11+0.5*$M11,1),ROUND(0.2*(SUM($F11:$K11)/COUNT($F11:$K11))+0.3*$L11+0.5*$M11,1)))))</f>
        <v/>
      </c>
      <c r="O11" s="171" t="str">
        <f t="shared" ref="O11:O74" si="0">IF($B11="","",IF($N11="","KXL",IF($N11&lt;4,"Kém",IF($N11&lt;5.5,"TB Yếu",IF($N11&lt;7,"T.Bình",IF($N11&lt;8.5,"Khá","Giỏi"))))))</f>
        <v/>
      </c>
      <c r="P11" s="165" t="str">
        <f>IF(OR($B11="",$C$6&lt;&gt;HKI!$AF$6,HKI!$AH11=""),"",HKI!$AH11)</f>
        <v/>
      </c>
      <c r="Q11" s="165" t="str">
        <f>IF(OR(ISNUMBER($E11)=TRUE,$B11="",$P11=""),"",IF(COUNT($F11:$M11)=0,"",IF($M11&gt;=$P11,$N11,IF(COUNT($F11:$K11)=0,ROUND(0.3*$L11+0.5*$P11,1),ROUND(0.2*(SUM($F11:$K11)/COUNT($F11:$K11))+0.3*$L11+0.5*$P11,1)))))</f>
        <v/>
      </c>
    </row>
    <row r="12" spans="1:17" ht="18" customHeight="1">
      <c r="A12" s="1" t="str">
        <f>IF(OR($C$6="",$I$6="",$L$6=""),"",IF($B12="","",SUBTOTAL(3,$B$11:B12)))</f>
        <v/>
      </c>
      <c r="B12" s="25" t="str">
        <f>IF(OR($C$6="",$I$6="",$L$6=""),"",IF(HKI!$B12="","",HKI!$B12))</f>
        <v/>
      </c>
      <c r="C12" s="26" t="str">
        <f>IF(OR($C$6="",$I$6="",$L$6=""),"",IF(HKI!$C12="","",HKI!$C12))</f>
        <v/>
      </c>
      <c r="D12" s="27" t="str">
        <f>IF(OR($C$6="",$I$6="",$L$6=""),"",IF(HKI!$D12="","",HKI!$D12))</f>
        <v/>
      </c>
      <c r="E12" s="45"/>
      <c r="F12" s="65"/>
      <c r="G12" s="65"/>
      <c r="H12" s="54"/>
      <c r="I12" s="54"/>
      <c r="J12" s="54"/>
      <c r="K12" s="54"/>
      <c r="L12" s="65"/>
      <c r="M12" s="65"/>
      <c r="N12" s="8" t="str">
        <f t="shared" ref="N12:N75" si="1">IF($B12="","",IF(ISNUMBER($E12)=TRUE,$E12,IF(COUNT($F12:$M12)=0,"",IF(COUNT($F12:$K12)=0,ROUND(0.3*$L12+0.5*$M12,1),ROUND(0.2*(SUM($F12:$K12)/COUNT($F12:$K12))+0.3*$L12+0.5*$M12,1)))))</f>
        <v/>
      </c>
      <c r="O12" s="171" t="str">
        <f t="shared" si="0"/>
        <v/>
      </c>
      <c r="P12" s="165" t="str">
        <f>IF(OR($B12="",$C$6&lt;&gt;HKI!$AF$6,HKI!$AH12=""),"",HKI!$AH12)</f>
        <v/>
      </c>
      <c r="Q12" s="165" t="str">
        <f t="shared" ref="Q12:Q75" si="2">IF(OR(ISNUMBER($E12)=TRUE,$B12="",$P12=""),"",IF(COUNT($F12:$M12)=0,"",IF($M12&gt;=$P12,$N12,IF(COUNT($F12:$K12)=0,ROUND(0.3*$L12+0.5*$P12,1),ROUND(0.2*(SUM($F12:$K12)/COUNT($F12:$K12))+0.3*$L12+0.5*$P12,1)))))</f>
        <v/>
      </c>
    </row>
    <row r="13" spans="1:17" ht="18" customHeight="1">
      <c r="A13" s="1" t="str">
        <f>IF(OR($C$6="",$I$6="",$L$6=""),"",IF($B13="","",SUBTOTAL(3,$B$11:B13)))</f>
        <v/>
      </c>
      <c r="B13" s="25" t="str">
        <f>IF(OR($C$6="",$I$6="",$L$6=""),"",IF(HKI!$B13="","",HKI!$B13))</f>
        <v/>
      </c>
      <c r="C13" s="26" t="str">
        <f>IF(OR($C$6="",$I$6="",$L$6=""),"",IF(HKI!$C13="","",HKI!$C13))</f>
        <v/>
      </c>
      <c r="D13" s="27" t="str">
        <f>IF(OR($C$6="",$I$6="",$L$6=""),"",IF(HKI!$D13="","",HKI!$D13))</f>
        <v/>
      </c>
      <c r="E13" s="45"/>
      <c r="F13" s="65"/>
      <c r="G13" s="65"/>
      <c r="H13" s="54"/>
      <c r="I13" s="54"/>
      <c r="J13" s="54"/>
      <c r="K13" s="54"/>
      <c r="L13" s="65"/>
      <c r="M13" s="65"/>
      <c r="N13" s="8" t="str">
        <f t="shared" si="1"/>
        <v/>
      </c>
      <c r="O13" s="171" t="str">
        <f t="shared" si="0"/>
        <v/>
      </c>
      <c r="P13" s="165" t="str">
        <f>IF(OR($B13="",$C$6&lt;&gt;HKI!$AF$6,HKI!$AH13=""),"",HKI!$AH13)</f>
        <v/>
      </c>
      <c r="Q13" s="165" t="str">
        <f t="shared" si="2"/>
        <v/>
      </c>
    </row>
    <row r="14" spans="1:17" ht="18" customHeight="1">
      <c r="A14" s="1" t="str">
        <f>IF(OR($C$6="",$I$6="",$L$6=""),"",IF($B14="","",SUBTOTAL(3,$B$11:B14)))</f>
        <v/>
      </c>
      <c r="B14" s="25" t="str">
        <f>IF(OR($C$6="",$I$6="",$L$6=""),"",IF(HKI!$B14="","",HKI!$B14))</f>
        <v/>
      </c>
      <c r="C14" s="26" t="str">
        <f>IF(OR($C$6="",$I$6="",$L$6=""),"",IF(HKI!$C14="","",HKI!$C14))</f>
        <v/>
      </c>
      <c r="D14" s="27" t="str">
        <f>IF(OR($C$6="",$I$6="",$L$6=""),"",IF(HKI!$D14="","",HKI!$D14))</f>
        <v/>
      </c>
      <c r="E14" s="45"/>
      <c r="F14" s="65"/>
      <c r="G14" s="65"/>
      <c r="H14" s="54"/>
      <c r="I14" s="54"/>
      <c r="J14" s="54"/>
      <c r="K14" s="54"/>
      <c r="L14" s="65"/>
      <c r="M14" s="65"/>
      <c r="N14" s="8" t="str">
        <f t="shared" si="1"/>
        <v/>
      </c>
      <c r="O14" s="171" t="str">
        <f t="shared" si="0"/>
        <v/>
      </c>
      <c r="P14" s="165" t="str">
        <f>IF(OR($B14="",$C$6&lt;&gt;HKI!$AF$6,HKI!$AH14=""),"",HKI!$AH14)</f>
        <v/>
      </c>
      <c r="Q14" s="165" t="str">
        <f t="shared" si="2"/>
        <v/>
      </c>
    </row>
    <row r="15" spans="1:17" ht="18" customHeight="1">
      <c r="A15" s="1" t="str">
        <f>IF(OR($C$6="",$I$6="",$L$6=""),"",IF($B15="","",SUBTOTAL(3,$B$11:B15)))</f>
        <v/>
      </c>
      <c r="B15" s="25" t="str">
        <f>IF(OR($C$6="",$I$6="",$L$6=""),"",IF(HKI!$B15="","",HKI!$B15))</f>
        <v/>
      </c>
      <c r="C15" s="26" t="str">
        <f>IF(OR($C$6="",$I$6="",$L$6=""),"",IF(HKI!$C15="","",HKI!$C15))</f>
        <v/>
      </c>
      <c r="D15" s="27" t="str">
        <f>IF(OR($C$6="",$I$6="",$L$6=""),"",IF(HKI!$D15="","",HKI!$D15))</f>
        <v/>
      </c>
      <c r="E15" s="45"/>
      <c r="F15" s="65"/>
      <c r="G15" s="65"/>
      <c r="H15" s="54"/>
      <c r="I15" s="54"/>
      <c r="J15" s="54"/>
      <c r="K15" s="54"/>
      <c r="L15" s="65"/>
      <c r="M15" s="65"/>
      <c r="N15" s="8" t="str">
        <f t="shared" si="1"/>
        <v/>
      </c>
      <c r="O15" s="171" t="str">
        <f t="shared" si="0"/>
        <v/>
      </c>
      <c r="P15" s="165" t="str">
        <f>IF(OR($B15="",$C$6&lt;&gt;HKI!$AF$6,HKI!$AH15=""),"",HKI!$AH15)</f>
        <v/>
      </c>
      <c r="Q15" s="165" t="str">
        <f t="shared" si="2"/>
        <v/>
      </c>
    </row>
    <row r="16" spans="1:17" ht="18" customHeight="1">
      <c r="A16" s="1" t="str">
        <f>IF(OR($C$6="",$I$6="",$L$6=""),"",IF($B16="","",SUBTOTAL(3,$B$11:B16)))</f>
        <v/>
      </c>
      <c r="B16" s="25" t="str">
        <f>IF(OR($C$6="",$I$6="",$L$6=""),"",IF(HKI!$B16="","",HKI!$B16))</f>
        <v/>
      </c>
      <c r="C16" s="26" t="str">
        <f>IF(OR($C$6="",$I$6="",$L$6=""),"",IF(HKI!$C16="","",HKI!$C16))</f>
        <v/>
      </c>
      <c r="D16" s="27" t="str">
        <f>IF(OR($C$6="",$I$6="",$L$6=""),"",IF(HKI!$D16="","",HKI!$D16))</f>
        <v/>
      </c>
      <c r="E16" s="45"/>
      <c r="F16" s="65"/>
      <c r="G16" s="65"/>
      <c r="H16" s="54"/>
      <c r="I16" s="54"/>
      <c r="J16" s="54"/>
      <c r="K16" s="54"/>
      <c r="L16" s="65"/>
      <c r="M16" s="65"/>
      <c r="N16" s="8" t="str">
        <f t="shared" si="1"/>
        <v/>
      </c>
      <c r="O16" s="171" t="str">
        <f t="shared" si="0"/>
        <v/>
      </c>
      <c r="P16" s="165" t="str">
        <f>IF(OR($B16="",$C$6&lt;&gt;HKI!$AF$6,HKI!$AH16=""),"",HKI!$AH16)</f>
        <v/>
      </c>
      <c r="Q16" s="165" t="str">
        <f t="shared" si="2"/>
        <v/>
      </c>
    </row>
    <row r="17" spans="1:17" ht="18" customHeight="1">
      <c r="A17" s="1" t="str">
        <f>IF(OR($C$6="",$I$6="",$L$6=""),"",IF($B17="","",SUBTOTAL(3,$B$11:B17)))</f>
        <v/>
      </c>
      <c r="B17" s="25" t="str">
        <f>IF(OR($C$6="",$I$6="",$L$6=""),"",IF(HKI!$B17="","",HKI!$B17))</f>
        <v/>
      </c>
      <c r="C17" s="26" t="str">
        <f>IF(OR($C$6="",$I$6="",$L$6=""),"",IF(HKI!$C17="","",HKI!$C17))</f>
        <v/>
      </c>
      <c r="D17" s="27" t="str">
        <f>IF(OR($C$6="",$I$6="",$L$6=""),"",IF(HKI!$D17="","",HKI!$D17))</f>
        <v/>
      </c>
      <c r="E17" s="45"/>
      <c r="F17" s="65"/>
      <c r="G17" s="65"/>
      <c r="H17" s="54"/>
      <c r="I17" s="54"/>
      <c r="J17" s="54"/>
      <c r="K17" s="54"/>
      <c r="L17" s="65"/>
      <c r="M17" s="65"/>
      <c r="N17" s="8" t="str">
        <f t="shared" si="1"/>
        <v/>
      </c>
      <c r="O17" s="171" t="str">
        <f t="shared" si="0"/>
        <v/>
      </c>
      <c r="P17" s="165" t="str">
        <f>IF(OR($B17="",$C$6&lt;&gt;HKI!$AF$6,HKI!$AH17=""),"",HKI!$AH17)</f>
        <v/>
      </c>
      <c r="Q17" s="165" t="str">
        <f t="shared" si="2"/>
        <v/>
      </c>
    </row>
    <row r="18" spans="1:17" ht="18" customHeight="1">
      <c r="A18" s="1" t="str">
        <f>IF(OR($C$6="",$I$6="",$L$6=""),"",IF($B18="","",SUBTOTAL(3,$B$11:B18)))</f>
        <v/>
      </c>
      <c r="B18" s="25" t="str">
        <f>IF(OR($C$6="",$I$6="",$L$6=""),"",IF(HKI!$B18="","",HKI!$B18))</f>
        <v/>
      </c>
      <c r="C18" s="26" t="str">
        <f>IF(OR($C$6="",$I$6="",$L$6=""),"",IF(HKI!$C18="","",HKI!$C18))</f>
        <v/>
      </c>
      <c r="D18" s="27" t="str">
        <f>IF(OR($C$6="",$I$6="",$L$6=""),"",IF(HKI!$D18="","",HKI!$D18))</f>
        <v/>
      </c>
      <c r="E18" s="45"/>
      <c r="F18" s="65"/>
      <c r="G18" s="65"/>
      <c r="H18" s="54"/>
      <c r="I18" s="54"/>
      <c r="J18" s="54"/>
      <c r="K18" s="54"/>
      <c r="L18" s="65"/>
      <c r="M18" s="65"/>
      <c r="N18" s="8" t="str">
        <f t="shared" si="1"/>
        <v/>
      </c>
      <c r="O18" s="171" t="str">
        <f t="shared" si="0"/>
        <v/>
      </c>
      <c r="P18" s="165" t="str">
        <f>IF(OR($B18="",$C$6&lt;&gt;HKI!$AF$6,HKI!$AH18=""),"",HKI!$AH18)</f>
        <v/>
      </c>
      <c r="Q18" s="165" t="str">
        <f t="shared" si="2"/>
        <v/>
      </c>
    </row>
    <row r="19" spans="1:17" ht="18" customHeight="1">
      <c r="A19" s="1" t="str">
        <f>IF(OR($C$6="",$I$6="",$L$6=""),"",IF($B19="","",SUBTOTAL(3,$B$11:B19)))</f>
        <v/>
      </c>
      <c r="B19" s="25" t="str">
        <f>IF(OR($C$6="",$I$6="",$L$6=""),"",IF(HKI!$B19="","",HKI!$B19))</f>
        <v/>
      </c>
      <c r="C19" s="26" t="str">
        <f>IF(OR($C$6="",$I$6="",$L$6=""),"",IF(HKI!$C19="","",HKI!$C19))</f>
        <v/>
      </c>
      <c r="D19" s="27" t="str">
        <f>IF(OR($C$6="",$I$6="",$L$6=""),"",IF(HKI!$D19="","",HKI!$D19))</f>
        <v/>
      </c>
      <c r="E19" s="45"/>
      <c r="F19" s="65"/>
      <c r="G19" s="65"/>
      <c r="H19" s="54"/>
      <c r="I19" s="54"/>
      <c r="J19" s="54"/>
      <c r="K19" s="54"/>
      <c r="L19" s="65"/>
      <c r="M19" s="65"/>
      <c r="N19" s="8" t="str">
        <f t="shared" si="1"/>
        <v/>
      </c>
      <c r="O19" s="171" t="str">
        <f t="shared" si="0"/>
        <v/>
      </c>
      <c r="P19" s="165" t="str">
        <f>IF(OR($B19="",$C$6&lt;&gt;HKI!$AF$6,HKI!$AH19=""),"",HKI!$AH19)</f>
        <v/>
      </c>
      <c r="Q19" s="165" t="str">
        <f t="shared" si="2"/>
        <v/>
      </c>
    </row>
    <row r="20" spans="1:17" ht="18" customHeight="1">
      <c r="A20" s="1" t="str">
        <f>IF(OR($C$6="",$I$6="",$L$6=""),"",IF($B20="","",SUBTOTAL(3,$B$11:B20)))</f>
        <v/>
      </c>
      <c r="B20" s="25" t="str">
        <f>IF(OR($C$6="",$I$6="",$L$6=""),"",IF(HKI!$B20="","",HKI!$B20))</f>
        <v/>
      </c>
      <c r="C20" s="26" t="str">
        <f>IF(OR($C$6="",$I$6="",$L$6=""),"",IF(HKI!$C20="","",HKI!$C20))</f>
        <v/>
      </c>
      <c r="D20" s="27" t="str">
        <f>IF(OR($C$6="",$I$6="",$L$6=""),"",IF(HKI!$D20="","",HKI!$D20))</f>
        <v/>
      </c>
      <c r="E20" s="45"/>
      <c r="F20" s="65"/>
      <c r="G20" s="65"/>
      <c r="H20" s="54"/>
      <c r="I20" s="54"/>
      <c r="J20" s="54"/>
      <c r="K20" s="54"/>
      <c r="L20" s="65"/>
      <c r="M20" s="65"/>
      <c r="N20" s="8" t="str">
        <f t="shared" si="1"/>
        <v/>
      </c>
      <c r="O20" s="171" t="str">
        <f t="shared" si="0"/>
        <v/>
      </c>
      <c r="P20" s="165" t="str">
        <f>IF(OR($B20="",$C$6&lt;&gt;HKI!$AF$6,HKI!$AH20=""),"",HKI!$AH20)</f>
        <v/>
      </c>
      <c r="Q20" s="165" t="str">
        <f t="shared" si="2"/>
        <v/>
      </c>
    </row>
    <row r="21" spans="1:17" ht="18" customHeight="1">
      <c r="A21" s="1" t="str">
        <f>IF(OR($C$6="",$I$6="",$L$6=""),"",IF($B21="","",SUBTOTAL(3,$B$11:B21)))</f>
        <v/>
      </c>
      <c r="B21" s="25" t="str">
        <f>IF(OR($C$6="",$I$6="",$L$6=""),"",IF(HKI!$B21="","",HKI!$B21))</f>
        <v/>
      </c>
      <c r="C21" s="26" t="str">
        <f>IF(OR($C$6="",$I$6="",$L$6=""),"",IF(HKI!$C21="","",HKI!$C21))</f>
        <v/>
      </c>
      <c r="D21" s="27" t="str">
        <f>IF(OR($C$6="",$I$6="",$L$6=""),"",IF(HKI!$D21="","",HKI!$D21))</f>
        <v/>
      </c>
      <c r="E21" s="45"/>
      <c r="F21" s="65"/>
      <c r="G21" s="65"/>
      <c r="H21" s="54"/>
      <c r="I21" s="54"/>
      <c r="J21" s="54"/>
      <c r="K21" s="54"/>
      <c r="L21" s="65"/>
      <c r="M21" s="65"/>
      <c r="N21" s="8" t="str">
        <f t="shared" si="1"/>
        <v/>
      </c>
      <c r="O21" s="171" t="str">
        <f t="shared" si="0"/>
        <v/>
      </c>
      <c r="P21" s="165" t="str">
        <f>IF(OR($B21="",$C$6&lt;&gt;HKI!$AF$6,HKI!$AH21=""),"",HKI!$AH21)</f>
        <v/>
      </c>
      <c r="Q21" s="165" t="str">
        <f t="shared" si="2"/>
        <v/>
      </c>
    </row>
    <row r="22" spans="1:17" ht="18" customHeight="1">
      <c r="A22" s="1" t="str">
        <f>IF(OR($C$6="",$I$6="",$L$6=""),"",IF($B22="","",SUBTOTAL(3,$B$11:B22)))</f>
        <v/>
      </c>
      <c r="B22" s="25" t="str">
        <f>IF(OR($C$6="",$I$6="",$L$6=""),"",IF(HKI!$B22="","",HKI!$B22))</f>
        <v/>
      </c>
      <c r="C22" s="26" t="str">
        <f>IF(OR($C$6="",$I$6="",$L$6=""),"",IF(HKI!$C22="","",HKI!$C22))</f>
        <v/>
      </c>
      <c r="D22" s="27" t="str">
        <f>IF(OR($C$6="",$I$6="",$L$6=""),"",IF(HKI!$D22="","",HKI!$D22))</f>
        <v/>
      </c>
      <c r="E22" s="45"/>
      <c r="F22" s="65"/>
      <c r="G22" s="65"/>
      <c r="H22" s="54"/>
      <c r="I22" s="54"/>
      <c r="J22" s="54"/>
      <c r="K22" s="54"/>
      <c r="L22" s="65"/>
      <c r="M22" s="65"/>
      <c r="N22" s="8" t="str">
        <f t="shared" si="1"/>
        <v/>
      </c>
      <c r="O22" s="171" t="str">
        <f t="shared" si="0"/>
        <v/>
      </c>
      <c r="P22" s="165" t="str">
        <f>IF(OR($B22="",$C$6&lt;&gt;HKI!$AF$6,HKI!$AH22=""),"",HKI!$AH22)</f>
        <v/>
      </c>
      <c r="Q22" s="165" t="str">
        <f t="shared" si="2"/>
        <v/>
      </c>
    </row>
    <row r="23" spans="1:17" ht="18" customHeight="1">
      <c r="A23" s="1" t="str">
        <f>IF(OR($C$6="",$I$6="",$L$6=""),"",IF($B23="","",SUBTOTAL(3,$B$11:B23)))</f>
        <v/>
      </c>
      <c r="B23" s="25" t="str">
        <f>IF(OR($C$6="",$I$6="",$L$6=""),"",IF(HKI!$B23="","",HKI!$B23))</f>
        <v/>
      </c>
      <c r="C23" s="26" t="str">
        <f>IF(OR($C$6="",$I$6="",$L$6=""),"",IF(HKI!$C23="","",HKI!$C23))</f>
        <v/>
      </c>
      <c r="D23" s="27" t="str">
        <f>IF(OR($C$6="",$I$6="",$L$6=""),"",IF(HKI!$D23="","",HKI!$D23))</f>
        <v/>
      </c>
      <c r="E23" s="45"/>
      <c r="F23" s="65"/>
      <c r="G23" s="65"/>
      <c r="H23" s="54"/>
      <c r="I23" s="54"/>
      <c r="J23" s="54"/>
      <c r="K23" s="54"/>
      <c r="L23" s="65"/>
      <c r="M23" s="65"/>
      <c r="N23" s="8" t="str">
        <f t="shared" si="1"/>
        <v/>
      </c>
      <c r="O23" s="171" t="str">
        <f t="shared" si="0"/>
        <v/>
      </c>
      <c r="P23" s="165" t="str">
        <f>IF(OR($B23="",$C$6&lt;&gt;HKI!$AF$6,HKI!$AH23=""),"",HKI!$AH23)</f>
        <v/>
      </c>
      <c r="Q23" s="165" t="str">
        <f t="shared" si="2"/>
        <v/>
      </c>
    </row>
    <row r="24" spans="1:17" ht="18" customHeight="1">
      <c r="A24" s="1" t="str">
        <f>IF(OR($C$6="",$I$6="",$L$6=""),"",IF($B24="","",SUBTOTAL(3,$B$11:B24)))</f>
        <v/>
      </c>
      <c r="B24" s="25" t="str">
        <f>IF(OR($C$6="",$I$6="",$L$6=""),"",IF(HKI!$B24="","",HKI!$B24))</f>
        <v/>
      </c>
      <c r="C24" s="26" t="str">
        <f>IF(OR($C$6="",$I$6="",$L$6=""),"",IF(HKI!$C24="","",HKI!$C24))</f>
        <v/>
      </c>
      <c r="D24" s="27" t="str">
        <f>IF(OR($C$6="",$I$6="",$L$6=""),"",IF(HKI!$D24="","",HKI!$D24))</f>
        <v/>
      </c>
      <c r="E24" s="45"/>
      <c r="F24" s="65"/>
      <c r="G24" s="65"/>
      <c r="H24" s="54"/>
      <c r="I24" s="54"/>
      <c r="J24" s="54"/>
      <c r="K24" s="54"/>
      <c r="L24" s="65"/>
      <c r="M24" s="65"/>
      <c r="N24" s="8" t="str">
        <f t="shared" si="1"/>
        <v/>
      </c>
      <c r="O24" s="171" t="str">
        <f t="shared" si="0"/>
        <v/>
      </c>
      <c r="P24" s="165" t="str">
        <f>IF(OR($B24="",$C$6&lt;&gt;HKI!$AF$6,HKI!$AH24=""),"",HKI!$AH24)</f>
        <v/>
      </c>
      <c r="Q24" s="165" t="str">
        <f t="shared" si="2"/>
        <v/>
      </c>
    </row>
    <row r="25" spans="1:17" ht="18" customHeight="1">
      <c r="A25" s="1" t="str">
        <f>IF(OR($C$6="",$I$6="",$L$6=""),"",IF($B25="","",SUBTOTAL(3,$B$11:B25)))</f>
        <v/>
      </c>
      <c r="B25" s="25" t="str">
        <f>IF(OR($C$6="",$I$6="",$L$6=""),"",IF(HKI!$B25="","",HKI!$B25))</f>
        <v/>
      </c>
      <c r="C25" s="26" t="str">
        <f>IF(OR($C$6="",$I$6="",$L$6=""),"",IF(HKI!$C25="","",HKI!$C25))</f>
        <v/>
      </c>
      <c r="D25" s="27" t="str">
        <f>IF(OR($C$6="",$I$6="",$L$6=""),"",IF(HKI!$D25="","",HKI!$D25))</f>
        <v/>
      </c>
      <c r="E25" s="45"/>
      <c r="F25" s="65"/>
      <c r="G25" s="65"/>
      <c r="H25" s="54"/>
      <c r="I25" s="54"/>
      <c r="J25" s="54"/>
      <c r="K25" s="54"/>
      <c r="L25" s="65"/>
      <c r="M25" s="65"/>
      <c r="N25" s="8" t="str">
        <f t="shared" si="1"/>
        <v/>
      </c>
      <c r="O25" s="171" t="str">
        <f t="shared" si="0"/>
        <v/>
      </c>
      <c r="P25" s="165" t="str">
        <f>IF(OR($B25="",$C$6&lt;&gt;HKI!$AF$6,HKI!$AH25=""),"",HKI!$AH25)</f>
        <v/>
      </c>
      <c r="Q25" s="165" t="str">
        <f t="shared" si="2"/>
        <v/>
      </c>
    </row>
    <row r="26" spans="1:17" ht="18" customHeight="1">
      <c r="A26" s="1" t="str">
        <f>IF(OR($C$6="",$I$6="",$L$6=""),"",IF($B26="","",SUBTOTAL(3,$B$11:B26)))</f>
        <v/>
      </c>
      <c r="B26" s="25" t="str">
        <f>IF(OR($C$6="",$I$6="",$L$6=""),"",IF(HKI!$B26="","",HKI!$B26))</f>
        <v/>
      </c>
      <c r="C26" s="26" t="str">
        <f>IF(OR($C$6="",$I$6="",$L$6=""),"",IF(HKI!$C26="","",HKI!$C26))</f>
        <v/>
      </c>
      <c r="D26" s="27" t="str">
        <f>IF(OR($C$6="",$I$6="",$L$6=""),"",IF(HKI!$D26="","",HKI!$D26))</f>
        <v/>
      </c>
      <c r="E26" s="45"/>
      <c r="F26" s="65"/>
      <c r="G26" s="65"/>
      <c r="H26" s="54"/>
      <c r="I26" s="54"/>
      <c r="J26" s="54"/>
      <c r="K26" s="54"/>
      <c r="L26" s="65"/>
      <c r="M26" s="65"/>
      <c r="N26" s="8" t="str">
        <f t="shared" si="1"/>
        <v/>
      </c>
      <c r="O26" s="171" t="str">
        <f t="shared" si="0"/>
        <v/>
      </c>
      <c r="P26" s="165" t="str">
        <f>IF(OR($B26="",$C$6&lt;&gt;HKI!$AF$6,HKI!$AH26=""),"",HKI!$AH26)</f>
        <v/>
      </c>
      <c r="Q26" s="165" t="str">
        <f t="shared" si="2"/>
        <v/>
      </c>
    </row>
    <row r="27" spans="1:17" ht="18" customHeight="1">
      <c r="A27" s="1" t="str">
        <f>IF(OR($C$6="",$I$6="",$L$6=""),"",IF($B27="","",SUBTOTAL(3,$B$11:B27)))</f>
        <v/>
      </c>
      <c r="B27" s="25" t="str">
        <f>IF(OR($C$6="",$I$6="",$L$6=""),"",IF(HKI!$B27="","",HKI!$B27))</f>
        <v/>
      </c>
      <c r="C27" s="26" t="str">
        <f>IF(OR($C$6="",$I$6="",$L$6=""),"",IF(HKI!$C27="","",HKI!$C27))</f>
        <v/>
      </c>
      <c r="D27" s="27" t="str">
        <f>IF(OR($C$6="",$I$6="",$L$6=""),"",IF(HKI!$D27="","",HKI!$D27))</f>
        <v/>
      </c>
      <c r="E27" s="45"/>
      <c r="F27" s="65"/>
      <c r="G27" s="65"/>
      <c r="H27" s="54"/>
      <c r="I27" s="54"/>
      <c r="J27" s="54"/>
      <c r="K27" s="54"/>
      <c r="L27" s="65"/>
      <c r="M27" s="65"/>
      <c r="N27" s="8" t="str">
        <f t="shared" si="1"/>
        <v/>
      </c>
      <c r="O27" s="171" t="str">
        <f t="shared" si="0"/>
        <v/>
      </c>
      <c r="P27" s="165" t="str">
        <f>IF(OR($B27="",$C$6&lt;&gt;HKI!$AF$6,HKI!$AH27=""),"",HKI!$AH27)</f>
        <v/>
      </c>
      <c r="Q27" s="165" t="str">
        <f t="shared" si="2"/>
        <v/>
      </c>
    </row>
    <row r="28" spans="1:17" ht="18" customHeight="1">
      <c r="A28" s="1" t="str">
        <f>IF(OR($C$6="",$I$6="",$L$6=""),"",IF($B28="","",SUBTOTAL(3,$B$11:B28)))</f>
        <v/>
      </c>
      <c r="B28" s="25" t="str">
        <f>IF(OR($C$6="",$I$6="",$L$6=""),"",IF(HKI!$B28="","",HKI!$B28))</f>
        <v/>
      </c>
      <c r="C28" s="26" t="str">
        <f>IF(OR($C$6="",$I$6="",$L$6=""),"",IF(HKI!$C28="","",HKI!$C28))</f>
        <v/>
      </c>
      <c r="D28" s="27" t="str">
        <f>IF(OR($C$6="",$I$6="",$L$6=""),"",IF(HKI!$D28="","",HKI!$D28))</f>
        <v/>
      </c>
      <c r="E28" s="45"/>
      <c r="F28" s="65"/>
      <c r="G28" s="65"/>
      <c r="H28" s="54"/>
      <c r="I28" s="54"/>
      <c r="J28" s="54"/>
      <c r="K28" s="54"/>
      <c r="L28" s="65"/>
      <c r="M28" s="65"/>
      <c r="N28" s="8" t="str">
        <f t="shared" si="1"/>
        <v/>
      </c>
      <c r="O28" s="171" t="str">
        <f t="shared" si="0"/>
        <v/>
      </c>
      <c r="P28" s="165" t="str">
        <f>IF(OR($B28="",$C$6&lt;&gt;HKI!$AF$6,HKI!$AH28=""),"",HKI!$AH28)</f>
        <v/>
      </c>
      <c r="Q28" s="165" t="str">
        <f t="shared" si="2"/>
        <v/>
      </c>
    </row>
    <row r="29" spans="1:17" ht="18" customHeight="1">
      <c r="A29" s="1" t="str">
        <f>IF(OR($C$6="",$I$6="",$L$6=""),"",IF($B29="","",SUBTOTAL(3,$B$11:B29)))</f>
        <v/>
      </c>
      <c r="B29" s="25" t="str">
        <f>IF(OR($C$6="",$I$6="",$L$6=""),"",IF(HKI!$B29="","",HKI!$B29))</f>
        <v/>
      </c>
      <c r="C29" s="26" t="str">
        <f>IF(OR($C$6="",$I$6="",$L$6=""),"",IF(HKI!$C29="","",HKI!$C29))</f>
        <v/>
      </c>
      <c r="D29" s="27" t="str">
        <f>IF(OR($C$6="",$I$6="",$L$6=""),"",IF(HKI!$D29="","",HKI!$D29))</f>
        <v/>
      </c>
      <c r="E29" s="45"/>
      <c r="F29" s="65"/>
      <c r="G29" s="65"/>
      <c r="H29" s="54"/>
      <c r="I29" s="54"/>
      <c r="J29" s="54"/>
      <c r="K29" s="54"/>
      <c r="L29" s="65"/>
      <c r="M29" s="65"/>
      <c r="N29" s="8" t="str">
        <f t="shared" si="1"/>
        <v/>
      </c>
      <c r="O29" s="171" t="str">
        <f t="shared" si="0"/>
        <v/>
      </c>
      <c r="P29" s="165" t="str">
        <f>IF(OR($B29="",$C$6&lt;&gt;HKI!$AF$6,HKI!$AH29=""),"",HKI!$AH29)</f>
        <v/>
      </c>
      <c r="Q29" s="165" t="str">
        <f t="shared" si="2"/>
        <v/>
      </c>
    </row>
    <row r="30" spans="1:17" ht="18" customHeight="1">
      <c r="A30" s="1" t="str">
        <f>IF(OR($C$6="",$I$6="",$L$6=""),"",IF($B30="","",SUBTOTAL(3,$B$11:B30)))</f>
        <v/>
      </c>
      <c r="B30" s="25" t="str">
        <f>IF(OR($C$6="",$I$6="",$L$6=""),"",IF(HKI!$B30="","",HKI!$B30))</f>
        <v/>
      </c>
      <c r="C30" s="26" t="str">
        <f>IF(OR($C$6="",$I$6="",$L$6=""),"",IF(HKI!$C30="","",HKI!$C30))</f>
        <v/>
      </c>
      <c r="D30" s="27" t="str">
        <f>IF(OR($C$6="",$I$6="",$L$6=""),"",IF(HKI!$D30="","",HKI!$D30))</f>
        <v/>
      </c>
      <c r="E30" s="45"/>
      <c r="F30" s="65"/>
      <c r="G30" s="65"/>
      <c r="H30" s="54"/>
      <c r="I30" s="54"/>
      <c r="J30" s="54"/>
      <c r="K30" s="54"/>
      <c r="L30" s="65"/>
      <c r="M30" s="65"/>
      <c r="N30" s="8" t="str">
        <f t="shared" si="1"/>
        <v/>
      </c>
      <c r="O30" s="171" t="str">
        <f t="shared" si="0"/>
        <v/>
      </c>
      <c r="P30" s="165" t="str">
        <f>IF(OR($B30="",$C$6&lt;&gt;HKI!$AF$6,HKI!$AH30=""),"",HKI!$AH30)</f>
        <v/>
      </c>
      <c r="Q30" s="165" t="str">
        <f t="shared" si="2"/>
        <v/>
      </c>
    </row>
    <row r="31" spans="1:17" ht="18" customHeight="1">
      <c r="A31" s="1" t="str">
        <f>IF(OR($C$6="",$I$6="",$L$6=""),"",IF($B31="","",SUBTOTAL(3,$B$11:B31)))</f>
        <v/>
      </c>
      <c r="B31" s="25" t="str">
        <f>IF(OR($C$6="",$I$6="",$L$6=""),"",IF(HKI!$B31="","",HKI!$B31))</f>
        <v/>
      </c>
      <c r="C31" s="26" t="str">
        <f>IF(OR($C$6="",$I$6="",$L$6=""),"",IF(HKI!$C31="","",HKI!$C31))</f>
        <v/>
      </c>
      <c r="D31" s="27" t="str">
        <f>IF(OR($C$6="",$I$6="",$L$6=""),"",IF(HKI!$D31="","",HKI!$D31))</f>
        <v/>
      </c>
      <c r="E31" s="45"/>
      <c r="F31" s="65"/>
      <c r="G31" s="65"/>
      <c r="H31" s="54"/>
      <c r="I31" s="54"/>
      <c r="J31" s="54"/>
      <c r="K31" s="54"/>
      <c r="L31" s="65"/>
      <c r="M31" s="65"/>
      <c r="N31" s="8" t="str">
        <f t="shared" si="1"/>
        <v/>
      </c>
      <c r="O31" s="171" t="str">
        <f t="shared" si="0"/>
        <v/>
      </c>
      <c r="P31" s="165" t="str">
        <f>IF(OR($B31="",$C$6&lt;&gt;HKI!$AF$6,HKI!$AH31=""),"",HKI!$AH31)</f>
        <v/>
      </c>
      <c r="Q31" s="165" t="str">
        <f t="shared" si="2"/>
        <v/>
      </c>
    </row>
    <row r="32" spans="1:17" ht="18" customHeight="1">
      <c r="A32" s="1" t="str">
        <f>IF(OR($C$6="",$I$6="",$L$6=""),"",IF($B32="","",SUBTOTAL(3,$B$11:B32)))</f>
        <v/>
      </c>
      <c r="B32" s="25" t="str">
        <f>IF(OR($C$6="",$I$6="",$L$6=""),"",IF(HKI!$B32="","",HKI!$B32))</f>
        <v/>
      </c>
      <c r="C32" s="26" t="str">
        <f>IF(OR($C$6="",$I$6="",$L$6=""),"",IF(HKI!$C32="","",HKI!$C32))</f>
        <v/>
      </c>
      <c r="D32" s="27" t="str">
        <f>IF(OR($C$6="",$I$6="",$L$6=""),"",IF(HKI!$D32="","",HKI!$D32))</f>
        <v/>
      </c>
      <c r="E32" s="45"/>
      <c r="F32" s="65"/>
      <c r="G32" s="65"/>
      <c r="H32" s="54"/>
      <c r="I32" s="54"/>
      <c r="J32" s="54"/>
      <c r="K32" s="54"/>
      <c r="L32" s="65"/>
      <c r="M32" s="65"/>
      <c r="N32" s="8" t="str">
        <f t="shared" si="1"/>
        <v/>
      </c>
      <c r="O32" s="171" t="str">
        <f t="shared" si="0"/>
        <v/>
      </c>
      <c r="P32" s="165" t="str">
        <f>IF(OR($B32="",$C$6&lt;&gt;HKI!$AF$6,HKI!$AH32=""),"",HKI!$AH32)</f>
        <v/>
      </c>
      <c r="Q32" s="165" t="str">
        <f t="shared" si="2"/>
        <v/>
      </c>
    </row>
    <row r="33" spans="1:17" ht="18" customHeight="1">
      <c r="A33" s="1" t="str">
        <f>IF(OR($C$6="",$I$6="",$L$6=""),"",IF($B33="","",SUBTOTAL(3,$B$11:B33)))</f>
        <v/>
      </c>
      <c r="B33" s="25" t="str">
        <f>IF(OR($C$6="",$I$6="",$L$6=""),"",IF(HKI!$B33="","",HKI!$B33))</f>
        <v/>
      </c>
      <c r="C33" s="26" t="str">
        <f>IF(OR($C$6="",$I$6="",$L$6=""),"",IF(HKI!$C33="","",HKI!$C33))</f>
        <v/>
      </c>
      <c r="D33" s="27" t="str">
        <f>IF(OR($C$6="",$I$6="",$L$6=""),"",IF(HKI!$D33="","",HKI!$D33))</f>
        <v/>
      </c>
      <c r="E33" s="45"/>
      <c r="F33" s="65"/>
      <c r="G33" s="65"/>
      <c r="H33" s="54"/>
      <c r="I33" s="54"/>
      <c r="J33" s="54"/>
      <c r="K33" s="54"/>
      <c r="L33" s="65"/>
      <c r="M33" s="65"/>
      <c r="N33" s="8" t="str">
        <f t="shared" si="1"/>
        <v/>
      </c>
      <c r="O33" s="171" t="str">
        <f t="shared" si="0"/>
        <v/>
      </c>
      <c r="P33" s="165" t="str">
        <f>IF(OR($B33="",$C$6&lt;&gt;HKI!$AF$6,HKI!$AH33=""),"",HKI!$AH33)</f>
        <v/>
      </c>
      <c r="Q33" s="165" t="str">
        <f t="shared" si="2"/>
        <v/>
      </c>
    </row>
    <row r="34" spans="1:17" ht="18" customHeight="1">
      <c r="A34" s="1" t="str">
        <f>IF(OR($C$6="",$I$6="",$L$6=""),"",IF($B34="","",SUBTOTAL(3,$B$11:B34)))</f>
        <v/>
      </c>
      <c r="B34" s="25" t="str">
        <f>IF(OR($C$6="",$I$6="",$L$6=""),"",IF(HKI!$B34="","",HKI!$B34))</f>
        <v/>
      </c>
      <c r="C34" s="26" t="str">
        <f>IF(OR($C$6="",$I$6="",$L$6=""),"",IF(HKI!$C34="","",HKI!$C34))</f>
        <v/>
      </c>
      <c r="D34" s="27" t="str">
        <f>IF(OR($C$6="",$I$6="",$L$6=""),"",IF(HKI!$D34="","",HKI!$D34))</f>
        <v/>
      </c>
      <c r="E34" s="45"/>
      <c r="F34" s="65"/>
      <c r="G34" s="65"/>
      <c r="H34" s="54"/>
      <c r="I34" s="54"/>
      <c r="J34" s="54"/>
      <c r="K34" s="54"/>
      <c r="L34" s="65"/>
      <c r="M34" s="65"/>
      <c r="N34" s="8" t="str">
        <f t="shared" si="1"/>
        <v/>
      </c>
      <c r="O34" s="171" t="str">
        <f t="shared" si="0"/>
        <v/>
      </c>
      <c r="P34" s="165" t="str">
        <f>IF(OR($B34="",$C$6&lt;&gt;HKI!$AF$6,HKI!$AH34=""),"",HKI!$AH34)</f>
        <v/>
      </c>
      <c r="Q34" s="165" t="str">
        <f t="shared" si="2"/>
        <v/>
      </c>
    </row>
    <row r="35" spans="1:17" ht="18" customHeight="1">
      <c r="A35" s="1" t="str">
        <f>IF(OR($C$6="",$I$6="",$L$6=""),"",IF($B35="","",SUBTOTAL(3,$B$11:B35)))</f>
        <v/>
      </c>
      <c r="B35" s="25" t="str">
        <f>IF(OR($C$6="",$I$6="",$L$6=""),"",IF(HKI!$B35="","",HKI!$B35))</f>
        <v/>
      </c>
      <c r="C35" s="26" t="str">
        <f>IF(OR($C$6="",$I$6="",$L$6=""),"",IF(HKI!$C35="","",HKI!$C35))</f>
        <v/>
      </c>
      <c r="D35" s="27" t="str">
        <f>IF(OR($C$6="",$I$6="",$L$6=""),"",IF(HKI!$D35="","",HKI!$D35))</f>
        <v/>
      </c>
      <c r="E35" s="45"/>
      <c r="F35" s="65"/>
      <c r="G35" s="65"/>
      <c r="H35" s="54"/>
      <c r="I35" s="54"/>
      <c r="J35" s="54"/>
      <c r="K35" s="54"/>
      <c r="L35" s="65"/>
      <c r="M35" s="65"/>
      <c r="N35" s="8" t="str">
        <f t="shared" si="1"/>
        <v/>
      </c>
      <c r="O35" s="171" t="str">
        <f t="shared" si="0"/>
        <v/>
      </c>
      <c r="P35" s="165" t="str">
        <f>IF(OR($B35="",$C$6&lt;&gt;HKI!$AF$6,HKI!$AH35=""),"",HKI!$AH35)</f>
        <v/>
      </c>
      <c r="Q35" s="165" t="str">
        <f t="shared" si="2"/>
        <v/>
      </c>
    </row>
    <row r="36" spans="1:17" ht="18" customHeight="1">
      <c r="A36" s="1" t="str">
        <f>IF(OR($C$6="",$I$6="",$L$6=""),"",IF($B36="","",SUBTOTAL(3,$B$11:B36)))</f>
        <v/>
      </c>
      <c r="B36" s="25" t="str">
        <f>IF(OR($C$6="",$I$6="",$L$6=""),"",IF(HKI!$B36="","",HKI!$B36))</f>
        <v/>
      </c>
      <c r="C36" s="26" t="str">
        <f>IF(OR($C$6="",$I$6="",$L$6=""),"",IF(HKI!$C36="","",HKI!$C36))</f>
        <v/>
      </c>
      <c r="D36" s="27" t="str">
        <f>IF(OR($C$6="",$I$6="",$L$6=""),"",IF(HKI!$D36="","",HKI!$D36))</f>
        <v/>
      </c>
      <c r="E36" s="45"/>
      <c r="F36" s="65"/>
      <c r="G36" s="65"/>
      <c r="H36" s="54"/>
      <c r="I36" s="54"/>
      <c r="J36" s="54"/>
      <c r="K36" s="54"/>
      <c r="L36" s="65"/>
      <c r="M36" s="65"/>
      <c r="N36" s="8" t="str">
        <f t="shared" si="1"/>
        <v/>
      </c>
      <c r="O36" s="171" t="str">
        <f t="shared" si="0"/>
        <v/>
      </c>
      <c r="P36" s="165" t="str">
        <f>IF(OR($B36="",$C$6&lt;&gt;HKI!$AF$6,HKI!$AH36=""),"",HKI!$AH36)</f>
        <v/>
      </c>
      <c r="Q36" s="165" t="str">
        <f t="shared" si="2"/>
        <v/>
      </c>
    </row>
    <row r="37" spans="1:17" ht="18" customHeight="1">
      <c r="A37" s="1" t="str">
        <f>IF(OR($C$6="",$I$6="",$L$6=""),"",IF($B37="","",SUBTOTAL(3,$B$11:B37)))</f>
        <v/>
      </c>
      <c r="B37" s="25" t="str">
        <f>IF(OR($C$6="",$I$6="",$L$6=""),"",IF(HKI!$B37="","",HKI!$B37))</f>
        <v/>
      </c>
      <c r="C37" s="26" t="str">
        <f>IF(OR($C$6="",$I$6="",$L$6=""),"",IF(HKI!$C37="","",HKI!$C37))</f>
        <v/>
      </c>
      <c r="D37" s="27" t="str">
        <f>IF(OR($C$6="",$I$6="",$L$6=""),"",IF(HKI!$D37="","",HKI!$D37))</f>
        <v/>
      </c>
      <c r="E37" s="45"/>
      <c r="F37" s="65"/>
      <c r="G37" s="65"/>
      <c r="H37" s="54"/>
      <c r="I37" s="54"/>
      <c r="J37" s="54"/>
      <c r="K37" s="54"/>
      <c r="L37" s="65"/>
      <c r="M37" s="65"/>
      <c r="N37" s="8" t="str">
        <f t="shared" si="1"/>
        <v/>
      </c>
      <c r="O37" s="171" t="str">
        <f t="shared" si="0"/>
        <v/>
      </c>
      <c r="P37" s="165" t="str">
        <f>IF(OR($B37="",$C$6&lt;&gt;HKI!$AF$6,HKI!$AH37=""),"",HKI!$AH37)</f>
        <v/>
      </c>
      <c r="Q37" s="165" t="str">
        <f t="shared" si="2"/>
        <v/>
      </c>
    </row>
    <row r="38" spans="1:17" ht="18" customHeight="1">
      <c r="A38" s="1" t="str">
        <f>IF(OR($C$6="",$I$6="",$L$6=""),"",IF($B38="","",SUBTOTAL(3,$B$11:B38)))</f>
        <v/>
      </c>
      <c r="B38" s="25" t="str">
        <f>IF(OR($C$6="",$I$6="",$L$6=""),"",IF(HKI!$B38="","",HKI!$B38))</f>
        <v/>
      </c>
      <c r="C38" s="26" t="str">
        <f>IF(OR($C$6="",$I$6="",$L$6=""),"",IF(HKI!$C38="","",HKI!$C38))</f>
        <v/>
      </c>
      <c r="D38" s="27" t="str">
        <f>IF(OR($C$6="",$I$6="",$L$6=""),"",IF(HKI!$D38="","",HKI!$D38))</f>
        <v/>
      </c>
      <c r="E38" s="45"/>
      <c r="F38" s="65"/>
      <c r="G38" s="65"/>
      <c r="H38" s="54"/>
      <c r="I38" s="54"/>
      <c r="J38" s="54"/>
      <c r="K38" s="54"/>
      <c r="L38" s="65"/>
      <c r="M38" s="65"/>
      <c r="N38" s="8" t="str">
        <f t="shared" si="1"/>
        <v/>
      </c>
      <c r="O38" s="171" t="str">
        <f t="shared" si="0"/>
        <v/>
      </c>
      <c r="P38" s="165" t="str">
        <f>IF(OR($B38="",$C$6&lt;&gt;HKI!$AF$6,HKI!$AH38=""),"",HKI!$AH38)</f>
        <v/>
      </c>
      <c r="Q38" s="165" t="str">
        <f t="shared" si="2"/>
        <v/>
      </c>
    </row>
    <row r="39" spans="1:17" ht="18" customHeight="1">
      <c r="A39" s="1" t="str">
        <f>IF(OR($C$6="",$I$6="",$L$6=""),"",IF($B39="","",SUBTOTAL(3,$B$11:B39)))</f>
        <v/>
      </c>
      <c r="B39" s="25" t="str">
        <f>IF(OR($C$6="",$I$6="",$L$6=""),"",IF(HKI!$B39="","",HKI!$B39))</f>
        <v/>
      </c>
      <c r="C39" s="26" t="str">
        <f>IF(OR($C$6="",$I$6="",$L$6=""),"",IF(HKI!$C39="","",HKI!$C39))</f>
        <v/>
      </c>
      <c r="D39" s="27" t="str">
        <f>IF(OR($C$6="",$I$6="",$L$6=""),"",IF(HKI!$D39="","",HKI!$D39))</f>
        <v/>
      </c>
      <c r="E39" s="45"/>
      <c r="F39" s="65"/>
      <c r="G39" s="65"/>
      <c r="H39" s="54"/>
      <c r="I39" s="54"/>
      <c r="J39" s="54"/>
      <c r="K39" s="54"/>
      <c r="L39" s="65"/>
      <c r="M39" s="65"/>
      <c r="N39" s="8" t="str">
        <f t="shared" si="1"/>
        <v/>
      </c>
      <c r="O39" s="171" t="str">
        <f t="shared" si="0"/>
        <v/>
      </c>
      <c r="P39" s="165" t="str">
        <f>IF(OR($B39="",$C$6&lt;&gt;HKI!$AF$6,HKI!$AH39=""),"",HKI!$AH39)</f>
        <v/>
      </c>
      <c r="Q39" s="165" t="str">
        <f t="shared" si="2"/>
        <v/>
      </c>
    </row>
    <row r="40" spans="1:17" ht="18" customHeight="1">
      <c r="A40" s="1" t="str">
        <f>IF(OR($C$6="",$I$6="",$L$6=""),"",IF($B40="","",SUBTOTAL(3,$B$11:B40)))</f>
        <v/>
      </c>
      <c r="B40" s="25" t="str">
        <f>IF(OR($C$6="",$I$6="",$L$6=""),"",IF(HKI!$B40="","",HKI!$B40))</f>
        <v/>
      </c>
      <c r="C40" s="26" t="str">
        <f>IF(OR($C$6="",$I$6="",$L$6=""),"",IF(HKI!$C40="","",HKI!$C40))</f>
        <v/>
      </c>
      <c r="D40" s="27" t="str">
        <f>IF(OR($C$6="",$I$6="",$L$6=""),"",IF(HKI!$D40="","",HKI!$D40))</f>
        <v/>
      </c>
      <c r="E40" s="45"/>
      <c r="F40" s="65"/>
      <c r="G40" s="65"/>
      <c r="H40" s="54"/>
      <c r="I40" s="54"/>
      <c r="J40" s="54"/>
      <c r="K40" s="54"/>
      <c r="L40" s="65"/>
      <c r="M40" s="65"/>
      <c r="N40" s="8" t="str">
        <f t="shared" si="1"/>
        <v/>
      </c>
      <c r="O40" s="171" t="str">
        <f t="shared" si="0"/>
        <v/>
      </c>
      <c r="P40" s="165" t="str">
        <f>IF(OR($B40="",$C$6&lt;&gt;HKI!$AF$6,HKI!$AH40=""),"",HKI!$AH40)</f>
        <v/>
      </c>
      <c r="Q40" s="165" t="str">
        <f t="shared" si="2"/>
        <v/>
      </c>
    </row>
    <row r="41" spans="1:17" ht="18" customHeight="1">
      <c r="A41" s="1" t="str">
        <f>IF(OR($C$6="",$I$6="",$L$6=""),"",IF($B41="","",SUBTOTAL(3,$B$11:B41)))</f>
        <v/>
      </c>
      <c r="B41" s="25" t="str">
        <f>IF(OR($C$6="",$I$6="",$L$6=""),"",IF(HKI!$B41="","",HKI!$B41))</f>
        <v/>
      </c>
      <c r="C41" s="26" t="str">
        <f>IF(OR($C$6="",$I$6="",$L$6=""),"",IF(HKI!$C41="","",HKI!$C41))</f>
        <v/>
      </c>
      <c r="D41" s="27" t="str">
        <f>IF(OR($C$6="",$I$6="",$L$6=""),"",IF(HKI!$D41="","",HKI!$D41))</f>
        <v/>
      </c>
      <c r="E41" s="45"/>
      <c r="F41" s="65"/>
      <c r="G41" s="65"/>
      <c r="H41" s="54"/>
      <c r="I41" s="54"/>
      <c r="J41" s="54"/>
      <c r="K41" s="54"/>
      <c r="L41" s="65"/>
      <c r="M41" s="65"/>
      <c r="N41" s="8" t="str">
        <f t="shared" si="1"/>
        <v/>
      </c>
      <c r="O41" s="171" t="str">
        <f t="shared" si="0"/>
        <v/>
      </c>
      <c r="P41" s="165" t="str">
        <f>IF(OR($B41="",$C$6&lt;&gt;HKI!$AF$6,HKI!$AH41=""),"",HKI!$AH41)</f>
        <v/>
      </c>
      <c r="Q41" s="165" t="str">
        <f t="shared" si="2"/>
        <v/>
      </c>
    </row>
    <row r="42" spans="1:17" ht="18" customHeight="1">
      <c r="A42" s="1" t="str">
        <f>IF(OR($C$6="",$I$6="",$L$6=""),"",IF($B42="","",SUBTOTAL(3,$B$11:B42)))</f>
        <v/>
      </c>
      <c r="B42" s="25" t="str">
        <f>IF(OR($C$6="",$I$6="",$L$6=""),"",IF(HKI!$B42="","",HKI!$B42))</f>
        <v/>
      </c>
      <c r="C42" s="26" t="str">
        <f>IF(OR($C$6="",$I$6="",$L$6=""),"",IF(HKI!$C42="","",HKI!$C42))</f>
        <v/>
      </c>
      <c r="D42" s="27" t="str">
        <f>IF(OR($C$6="",$I$6="",$L$6=""),"",IF(HKI!$D42="","",HKI!$D42))</f>
        <v/>
      </c>
      <c r="E42" s="45"/>
      <c r="F42" s="65"/>
      <c r="G42" s="65"/>
      <c r="H42" s="54"/>
      <c r="I42" s="54"/>
      <c r="J42" s="54"/>
      <c r="K42" s="54"/>
      <c r="L42" s="65"/>
      <c r="M42" s="65"/>
      <c r="N42" s="8" t="str">
        <f t="shared" si="1"/>
        <v/>
      </c>
      <c r="O42" s="171" t="str">
        <f t="shared" si="0"/>
        <v/>
      </c>
      <c r="P42" s="165" t="str">
        <f>IF(OR($B42="",$C$6&lt;&gt;HKI!$AF$6,HKI!$AH42=""),"",HKI!$AH42)</f>
        <v/>
      </c>
      <c r="Q42" s="165" t="str">
        <f t="shared" si="2"/>
        <v/>
      </c>
    </row>
    <row r="43" spans="1:17" ht="18" customHeight="1">
      <c r="A43" s="1" t="str">
        <f>IF(OR($C$6="",$I$6="",$L$6=""),"",IF($B43="","",SUBTOTAL(3,$B$11:B43)))</f>
        <v/>
      </c>
      <c r="B43" s="25" t="str">
        <f>IF(OR($C$6="",$I$6="",$L$6=""),"",IF(HKI!$B43="","",HKI!$B43))</f>
        <v/>
      </c>
      <c r="C43" s="26" t="str">
        <f>IF(OR($C$6="",$I$6="",$L$6=""),"",IF(HKI!$C43="","",HKI!$C43))</f>
        <v/>
      </c>
      <c r="D43" s="27" t="str">
        <f>IF(OR($C$6="",$I$6="",$L$6=""),"",IF(HKI!$D43="","",HKI!$D43))</f>
        <v/>
      </c>
      <c r="E43" s="45"/>
      <c r="F43" s="65"/>
      <c r="G43" s="65"/>
      <c r="H43" s="54"/>
      <c r="I43" s="54"/>
      <c r="J43" s="54"/>
      <c r="K43" s="54"/>
      <c r="L43" s="65"/>
      <c r="M43" s="65"/>
      <c r="N43" s="8" t="str">
        <f t="shared" si="1"/>
        <v/>
      </c>
      <c r="O43" s="171" t="str">
        <f t="shared" si="0"/>
        <v/>
      </c>
      <c r="P43" s="165" t="str">
        <f>IF(OR($B43="",$C$6&lt;&gt;HKI!$AF$6,HKI!$AH43=""),"",HKI!$AH43)</f>
        <v/>
      </c>
      <c r="Q43" s="165" t="str">
        <f t="shared" si="2"/>
        <v/>
      </c>
    </row>
    <row r="44" spans="1:17" ht="18" customHeight="1">
      <c r="A44" s="1" t="str">
        <f>IF(OR($C$6="",$I$6="",$L$6=""),"",IF($B44="","",SUBTOTAL(3,$B$11:B44)))</f>
        <v/>
      </c>
      <c r="B44" s="25" t="str">
        <f>IF(OR($C$6="",$I$6="",$L$6=""),"",IF(HKI!$B44="","",HKI!$B44))</f>
        <v/>
      </c>
      <c r="C44" s="26" t="str">
        <f>IF(OR($C$6="",$I$6="",$L$6=""),"",IF(HKI!$C44="","",HKI!$C44))</f>
        <v/>
      </c>
      <c r="D44" s="27" t="str">
        <f>IF(OR($C$6="",$I$6="",$L$6=""),"",IF(HKI!$D44="","",HKI!$D44))</f>
        <v/>
      </c>
      <c r="E44" s="45"/>
      <c r="F44" s="65"/>
      <c r="G44" s="65"/>
      <c r="H44" s="54"/>
      <c r="I44" s="54"/>
      <c r="J44" s="54"/>
      <c r="K44" s="54"/>
      <c r="L44" s="65"/>
      <c r="M44" s="65"/>
      <c r="N44" s="8" t="str">
        <f t="shared" si="1"/>
        <v/>
      </c>
      <c r="O44" s="171" t="str">
        <f t="shared" si="0"/>
        <v/>
      </c>
      <c r="P44" s="165" t="str">
        <f>IF(OR($B44="",$C$6&lt;&gt;HKI!$AF$6,HKI!$AH44=""),"",HKI!$AH44)</f>
        <v/>
      </c>
      <c r="Q44" s="165" t="str">
        <f t="shared" si="2"/>
        <v/>
      </c>
    </row>
    <row r="45" spans="1:17" ht="18" customHeight="1">
      <c r="A45" s="1" t="str">
        <f>IF(OR($C$6="",$I$6="",$L$6=""),"",IF($B45="","",SUBTOTAL(3,$B$11:B45)))</f>
        <v/>
      </c>
      <c r="B45" s="25" t="str">
        <f>IF(OR($C$6="",$I$6="",$L$6=""),"",IF(HKI!$B45="","",HKI!$B45))</f>
        <v/>
      </c>
      <c r="C45" s="26" t="str">
        <f>IF(OR($C$6="",$I$6="",$L$6=""),"",IF(HKI!$C45="","",HKI!$C45))</f>
        <v/>
      </c>
      <c r="D45" s="27" t="str">
        <f>IF(OR($C$6="",$I$6="",$L$6=""),"",IF(HKI!$D45="","",HKI!$D45))</f>
        <v/>
      </c>
      <c r="E45" s="45"/>
      <c r="F45" s="65"/>
      <c r="G45" s="65"/>
      <c r="H45" s="54"/>
      <c r="I45" s="54"/>
      <c r="J45" s="54"/>
      <c r="K45" s="54"/>
      <c r="L45" s="65"/>
      <c r="M45" s="65"/>
      <c r="N45" s="8" t="str">
        <f t="shared" si="1"/>
        <v/>
      </c>
      <c r="O45" s="171" t="str">
        <f t="shared" si="0"/>
        <v/>
      </c>
      <c r="P45" s="165" t="str">
        <f>IF(OR($B45="",$C$6&lt;&gt;HKI!$AF$6,HKI!$AH45=""),"",HKI!$AH45)</f>
        <v/>
      </c>
      <c r="Q45" s="165" t="str">
        <f t="shared" si="2"/>
        <v/>
      </c>
    </row>
    <row r="46" spans="1:17" ht="18" customHeight="1">
      <c r="A46" s="1" t="str">
        <f>IF(OR($C$6="",$I$6="",$L$6=""),"",IF($B46="","",SUBTOTAL(3,$B$11:B46)))</f>
        <v/>
      </c>
      <c r="B46" s="25" t="str">
        <f>IF(OR($C$6="",$I$6="",$L$6=""),"",IF(HKI!$B46="","",HKI!$B46))</f>
        <v/>
      </c>
      <c r="C46" s="26" t="str">
        <f>IF(OR($C$6="",$I$6="",$L$6=""),"",IF(HKI!$C46="","",HKI!$C46))</f>
        <v/>
      </c>
      <c r="D46" s="27" t="str">
        <f>IF(OR($C$6="",$I$6="",$L$6=""),"",IF(HKI!$D46="","",HKI!$D46))</f>
        <v/>
      </c>
      <c r="E46" s="45"/>
      <c r="F46" s="65"/>
      <c r="G46" s="65"/>
      <c r="H46" s="54"/>
      <c r="I46" s="54"/>
      <c r="J46" s="54"/>
      <c r="K46" s="54"/>
      <c r="L46" s="65"/>
      <c r="M46" s="65"/>
      <c r="N46" s="8" t="str">
        <f t="shared" si="1"/>
        <v/>
      </c>
      <c r="O46" s="171" t="str">
        <f t="shared" si="0"/>
        <v/>
      </c>
      <c r="P46" s="165" t="str">
        <f>IF(OR($B46="",$C$6&lt;&gt;HKI!$AF$6,HKI!$AH46=""),"",HKI!$AH46)</f>
        <v/>
      </c>
      <c r="Q46" s="165" t="str">
        <f t="shared" si="2"/>
        <v/>
      </c>
    </row>
    <row r="47" spans="1:17" ht="18" customHeight="1">
      <c r="A47" s="1" t="str">
        <f>IF(OR($C$6="",$I$6="",$L$6=""),"",IF($B47="","",SUBTOTAL(3,$B$11:B47)))</f>
        <v/>
      </c>
      <c r="B47" s="25" t="str">
        <f>IF(OR($C$6="",$I$6="",$L$6=""),"",IF(HKI!$B47="","",HKI!$B47))</f>
        <v/>
      </c>
      <c r="C47" s="26" t="str">
        <f>IF(OR($C$6="",$I$6="",$L$6=""),"",IF(HKI!$C47="","",HKI!$C47))</f>
        <v/>
      </c>
      <c r="D47" s="27" t="str">
        <f>IF(OR($C$6="",$I$6="",$L$6=""),"",IF(HKI!$D47="","",HKI!$D47))</f>
        <v/>
      </c>
      <c r="E47" s="45"/>
      <c r="F47" s="65"/>
      <c r="G47" s="65"/>
      <c r="H47" s="54"/>
      <c r="I47" s="54"/>
      <c r="J47" s="54"/>
      <c r="K47" s="54"/>
      <c r="L47" s="65"/>
      <c r="M47" s="65"/>
      <c r="N47" s="8" t="str">
        <f t="shared" si="1"/>
        <v/>
      </c>
      <c r="O47" s="171" t="str">
        <f t="shared" si="0"/>
        <v/>
      </c>
      <c r="P47" s="165" t="str">
        <f>IF(OR($B47="",$C$6&lt;&gt;HKI!$AF$6,HKI!$AH47=""),"",HKI!$AH47)</f>
        <v/>
      </c>
      <c r="Q47" s="165" t="str">
        <f t="shared" si="2"/>
        <v/>
      </c>
    </row>
    <row r="48" spans="1:17" ht="18" customHeight="1">
      <c r="A48" s="1" t="str">
        <f>IF(OR($C$6="",$I$6="",$L$6=""),"",IF($B48="","",SUBTOTAL(3,$B$11:B48)))</f>
        <v/>
      </c>
      <c r="B48" s="25" t="str">
        <f>IF(OR($C$6="",$I$6="",$L$6=""),"",IF(HKI!$B48="","",HKI!$B48))</f>
        <v/>
      </c>
      <c r="C48" s="26" t="str">
        <f>IF(OR($C$6="",$I$6="",$L$6=""),"",IF(HKI!$C48="","",HKI!$C48))</f>
        <v/>
      </c>
      <c r="D48" s="27" t="str">
        <f>IF(OR($C$6="",$I$6="",$L$6=""),"",IF(HKI!$D48="","",HKI!$D48))</f>
        <v/>
      </c>
      <c r="E48" s="45"/>
      <c r="F48" s="65"/>
      <c r="G48" s="65"/>
      <c r="H48" s="54"/>
      <c r="I48" s="54"/>
      <c r="J48" s="54"/>
      <c r="K48" s="54"/>
      <c r="L48" s="65"/>
      <c r="M48" s="65"/>
      <c r="N48" s="8" t="str">
        <f t="shared" si="1"/>
        <v/>
      </c>
      <c r="O48" s="171" t="str">
        <f t="shared" si="0"/>
        <v/>
      </c>
      <c r="P48" s="165" t="str">
        <f>IF(OR($B48="",$C$6&lt;&gt;HKI!$AF$6,HKI!$AH48=""),"",HKI!$AH48)</f>
        <v/>
      </c>
      <c r="Q48" s="165" t="str">
        <f t="shared" si="2"/>
        <v/>
      </c>
    </row>
    <row r="49" spans="1:17" ht="18" customHeight="1">
      <c r="A49" s="1" t="str">
        <f>IF(OR($C$6="",$I$6="",$L$6=""),"",IF($B49="","",SUBTOTAL(3,$B$11:B49)))</f>
        <v/>
      </c>
      <c r="B49" s="25" t="str">
        <f>IF(OR($C$6="",$I$6="",$L$6=""),"",IF(HKI!$B49="","",HKI!$B49))</f>
        <v/>
      </c>
      <c r="C49" s="26" t="str">
        <f>IF(OR($C$6="",$I$6="",$L$6=""),"",IF(HKI!$C49="","",HKI!$C49))</f>
        <v/>
      </c>
      <c r="D49" s="27" t="str">
        <f>IF(OR($C$6="",$I$6="",$L$6=""),"",IF(HKI!$D49="","",HKI!$D49))</f>
        <v/>
      </c>
      <c r="E49" s="45"/>
      <c r="F49" s="65"/>
      <c r="G49" s="65"/>
      <c r="H49" s="54"/>
      <c r="I49" s="54"/>
      <c r="J49" s="54"/>
      <c r="K49" s="54"/>
      <c r="L49" s="65"/>
      <c r="M49" s="65"/>
      <c r="N49" s="8" t="str">
        <f t="shared" si="1"/>
        <v/>
      </c>
      <c r="O49" s="171" t="str">
        <f t="shared" si="0"/>
        <v/>
      </c>
      <c r="P49" s="165" t="str">
        <f>IF(OR($B49="",$C$6&lt;&gt;HKI!$AF$6,HKI!$AH49=""),"",HKI!$AH49)</f>
        <v/>
      </c>
      <c r="Q49" s="165" t="str">
        <f t="shared" si="2"/>
        <v/>
      </c>
    </row>
    <row r="50" spans="1:17" ht="18" customHeight="1">
      <c r="A50" s="1" t="str">
        <f>IF(OR($C$6="",$I$6="",$L$6=""),"",IF($B50="","",SUBTOTAL(3,$B$11:B50)))</f>
        <v/>
      </c>
      <c r="B50" s="25" t="str">
        <f>IF(OR($C$6="",$I$6="",$L$6=""),"",IF(HKI!$B50="","",HKI!$B50))</f>
        <v/>
      </c>
      <c r="C50" s="26" t="str">
        <f>IF(OR($C$6="",$I$6="",$L$6=""),"",IF(HKI!$C50="","",HKI!$C50))</f>
        <v/>
      </c>
      <c r="D50" s="27" t="str">
        <f>IF(OR($C$6="",$I$6="",$L$6=""),"",IF(HKI!$D50="","",HKI!$D50))</f>
        <v/>
      </c>
      <c r="E50" s="45"/>
      <c r="F50" s="65"/>
      <c r="G50" s="65"/>
      <c r="H50" s="54"/>
      <c r="I50" s="54"/>
      <c r="J50" s="54"/>
      <c r="K50" s="54"/>
      <c r="L50" s="65"/>
      <c r="M50" s="65"/>
      <c r="N50" s="8" t="str">
        <f t="shared" si="1"/>
        <v/>
      </c>
      <c r="O50" s="171" t="str">
        <f t="shared" si="0"/>
        <v/>
      </c>
      <c r="P50" s="165" t="str">
        <f>IF(OR($B50="",$C$6&lt;&gt;HKI!$AF$6,HKI!$AH50=""),"",HKI!$AH50)</f>
        <v/>
      </c>
      <c r="Q50" s="165" t="str">
        <f t="shared" si="2"/>
        <v/>
      </c>
    </row>
    <row r="51" spans="1:17" ht="18" customHeight="1">
      <c r="A51" s="1" t="str">
        <f>IF(OR($C$6="",$I$6="",$L$6=""),"",IF($B51="","",SUBTOTAL(3,$B$11:B51)))</f>
        <v/>
      </c>
      <c r="B51" s="25" t="str">
        <f>IF(OR($C$6="",$I$6="",$L$6=""),"",IF(HKI!$B51="","",HKI!$B51))</f>
        <v/>
      </c>
      <c r="C51" s="26" t="str">
        <f>IF(OR($C$6="",$I$6="",$L$6=""),"",IF(HKI!$C51="","",HKI!$C51))</f>
        <v/>
      </c>
      <c r="D51" s="27" t="str">
        <f>IF(OR($C$6="",$I$6="",$L$6=""),"",IF(HKI!$D51="","",HKI!$D51))</f>
        <v/>
      </c>
      <c r="E51" s="45"/>
      <c r="F51" s="65"/>
      <c r="G51" s="65"/>
      <c r="H51" s="54"/>
      <c r="I51" s="54"/>
      <c r="J51" s="54"/>
      <c r="K51" s="54"/>
      <c r="L51" s="65"/>
      <c r="M51" s="65"/>
      <c r="N51" s="8" t="str">
        <f t="shared" si="1"/>
        <v/>
      </c>
      <c r="O51" s="171" t="str">
        <f t="shared" si="0"/>
        <v/>
      </c>
      <c r="P51" s="165" t="str">
        <f>IF(OR($B51="",$C$6&lt;&gt;HKI!$AF$6,HKI!$AH51=""),"",HKI!$AH51)</f>
        <v/>
      </c>
      <c r="Q51" s="165" t="str">
        <f t="shared" si="2"/>
        <v/>
      </c>
    </row>
    <row r="52" spans="1:17" ht="18" customHeight="1">
      <c r="A52" s="1" t="str">
        <f>IF(OR($C$6="",$I$6="",$L$6=""),"",IF($B52="","",SUBTOTAL(3,$B$11:B52)))</f>
        <v/>
      </c>
      <c r="B52" s="25" t="str">
        <f>IF(OR($C$6="",$I$6="",$L$6=""),"",IF(HKI!$B52="","",HKI!$B52))</f>
        <v/>
      </c>
      <c r="C52" s="26" t="str">
        <f>IF(OR($C$6="",$I$6="",$L$6=""),"",IF(HKI!$C52="","",HKI!$C52))</f>
        <v/>
      </c>
      <c r="D52" s="27" t="str">
        <f>IF(OR($C$6="",$I$6="",$L$6=""),"",IF(HKI!$D52="","",HKI!$D52))</f>
        <v/>
      </c>
      <c r="E52" s="45"/>
      <c r="F52" s="65"/>
      <c r="G52" s="65"/>
      <c r="H52" s="54"/>
      <c r="I52" s="54"/>
      <c r="J52" s="54"/>
      <c r="K52" s="54"/>
      <c r="L52" s="65"/>
      <c r="M52" s="65"/>
      <c r="N52" s="8" t="str">
        <f t="shared" si="1"/>
        <v/>
      </c>
      <c r="O52" s="171" t="str">
        <f t="shared" si="0"/>
        <v/>
      </c>
      <c r="P52" s="165" t="str">
        <f>IF(OR($B52="",$C$6&lt;&gt;HKI!$AF$6,HKI!$AH52=""),"",HKI!$AH52)</f>
        <v/>
      </c>
      <c r="Q52" s="165" t="str">
        <f t="shared" si="2"/>
        <v/>
      </c>
    </row>
    <row r="53" spans="1:17" ht="18" customHeight="1">
      <c r="A53" s="1" t="str">
        <f>IF(OR($C$6="",$I$6="",$L$6=""),"",IF($B53="","",SUBTOTAL(3,$B$11:B53)))</f>
        <v/>
      </c>
      <c r="B53" s="25" t="str">
        <f>IF(OR($C$6="",$I$6="",$L$6=""),"",IF(HKI!$B53="","",HKI!$B53))</f>
        <v/>
      </c>
      <c r="C53" s="26" t="str">
        <f>IF(OR($C$6="",$I$6="",$L$6=""),"",IF(HKI!$C53="","",HKI!$C53))</f>
        <v/>
      </c>
      <c r="D53" s="27" t="str">
        <f>IF(OR($C$6="",$I$6="",$L$6=""),"",IF(HKI!$D53="","",HKI!$D53))</f>
        <v/>
      </c>
      <c r="E53" s="45"/>
      <c r="F53" s="54"/>
      <c r="G53" s="54"/>
      <c r="H53" s="54"/>
      <c r="I53" s="54"/>
      <c r="J53" s="54"/>
      <c r="K53" s="54"/>
      <c r="L53" s="54"/>
      <c r="M53" s="54"/>
      <c r="N53" s="8" t="str">
        <f t="shared" si="1"/>
        <v/>
      </c>
      <c r="O53" s="171" t="str">
        <f t="shared" si="0"/>
        <v/>
      </c>
      <c r="P53" s="165" t="str">
        <f>IF(OR($B53="",$C$6&lt;&gt;HKI!$AF$6,HKI!$AH53=""),"",HKI!$AH53)</f>
        <v/>
      </c>
      <c r="Q53" s="165" t="str">
        <f t="shared" si="2"/>
        <v/>
      </c>
    </row>
    <row r="54" spans="1:17" ht="18" customHeight="1">
      <c r="A54" s="1" t="str">
        <f>IF(OR($C$6="",$I$6="",$L$6=""),"",IF($B54="","",SUBTOTAL(3,$B$11:B54)))</f>
        <v/>
      </c>
      <c r="B54" s="25" t="str">
        <f>IF(OR($C$6="",$I$6="",$L$6=""),"",IF(HKI!$B54="","",HKI!$B54))</f>
        <v/>
      </c>
      <c r="C54" s="26" t="str">
        <f>IF(OR($C$6="",$I$6="",$L$6=""),"",IF(HKI!$C54="","",HKI!$C54))</f>
        <v/>
      </c>
      <c r="D54" s="27" t="str">
        <f>IF(OR($C$6="",$I$6="",$L$6=""),"",IF(HKI!$D54="","",HKI!$D54))</f>
        <v/>
      </c>
      <c r="E54" s="45"/>
      <c r="F54" s="54"/>
      <c r="G54" s="54"/>
      <c r="H54" s="54"/>
      <c r="I54" s="54"/>
      <c r="J54" s="54"/>
      <c r="K54" s="54"/>
      <c r="L54" s="54"/>
      <c r="M54" s="54"/>
      <c r="N54" s="8" t="str">
        <f t="shared" si="1"/>
        <v/>
      </c>
      <c r="O54" s="171" t="str">
        <f t="shared" si="0"/>
        <v/>
      </c>
      <c r="P54" s="165" t="str">
        <f>IF(OR($B54="",$C$6&lt;&gt;HKI!$AF$6,HKI!$AH54=""),"",HKI!$AH54)</f>
        <v/>
      </c>
      <c r="Q54" s="165" t="str">
        <f t="shared" si="2"/>
        <v/>
      </c>
    </row>
    <row r="55" spans="1:17" ht="18" customHeight="1">
      <c r="A55" s="1" t="str">
        <f>IF(OR($C$6="",$I$6="",$L$6=""),"",IF($B55="","",SUBTOTAL(3,$B$11:B55)))</f>
        <v/>
      </c>
      <c r="B55" s="25" t="str">
        <f>IF(OR($C$6="",$I$6="",$L$6=""),"",IF(HKI!$B55="","",HKI!$B55))</f>
        <v/>
      </c>
      <c r="C55" s="26" t="str">
        <f>IF(OR($C$6="",$I$6="",$L$6=""),"",IF(HKI!$C55="","",HKI!$C55))</f>
        <v/>
      </c>
      <c r="D55" s="27" t="str">
        <f>IF(OR($C$6="",$I$6="",$L$6=""),"",IF(HKI!$D55="","",HKI!$D55))</f>
        <v/>
      </c>
      <c r="E55" s="45"/>
      <c r="F55" s="54"/>
      <c r="G55" s="54"/>
      <c r="H55" s="54"/>
      <c r="I55" s="54"/>
      <c r="J55" s="54"/>
      <c r="K55" s="54"/>
      <c r="L55" s="54"/>
      <c r="M55" s="54"/>
      <c r="N55" s="8" t="str">
        <f t="shared" si="1"/>
        <v/>
      </c>
      <c r="O55" s="171" t="str">
        <f t="shared" si="0"/>
        <v/>
      </c>
      <c r="P55" s="165" t="str">
        <f>IF(OR($B55="",$C$6&lt;&gt;HKI!$AF$6,HKI!$AH55=""),"",HKI!$AH55)</f>
        <v/>
      </c>
      <c r="Q55" s="165" t="str">
        <f t="shared" si="2"/>
        <v/>
      </c>
    </row>
    <row r="56" spans="1:17" ht="18" customHeight="1">
      <c r="A56" s="1" t="str">
        <f>IF(OR($C$6="",$I$6="",$L$6=""),"",IF($B56="","",SUBTOTAL(3,$B$11:B56)))</f>
        <v/>
      </c>
      <c r="B56" s="25" t="str">
        <f>IF(OR($C$6="",$I$6="",$L$6=""),"",IF(HKI!$B56="","",HKI!$B56))</f>
        <v/>
      </c>
      <c r="C56" s="26" t="str">
        <f>IF(OR($C$6="",$I$6="",$L$6=""),"",IF(HKI!$C56="","",HKI!$C56))</f>
        <v/>
      </c>
      <c r="D56" s="27" t="str">
        <f>IF(OR($C$6="",$I$6="",$L$6=""),"",IF(HKI!$D56="","",HKI!$D56))</f>
        <v/>
      </c>
      <c r="E56" s="45"/>
      <c r="F56" s="54"/>
      <c r="G56" s="54"/>
      <c r="H56" s="54"/>
      <c r="I56" s="54"/>
      <c r="J56" s="54"/>
      <c r="K56" s="54"/>
      <c r="L56" s="54"/>
      <c r="M56" s="54"/>
      <c r="N56" s="8" t="str">
        <f t="shared" si="1"/>
        <v/>
      </c>
      <c r="O56" s="171" t="str">
        <f t="shared" si="0"/>
        <v/>
      </c>
      <c r="P56" s="165" t="str">
        <f>IF(OR($B56="",$C$6&lt;&gt;HKI!$AF$6,HKI!$AH56=""),"",HKI!$AH56)</f>
        <v/>
      </c>
      <c r="Q56" s="165" t="str">
        <f t="shared" si="2"/>
        <v/>
      </c>
    </row>
    <row r="57" spans="1:17" s="3" customFormat="1" ht="18" customHeight="1">
      <c r="A57" s="1" t="str">
        <f>IF(OR($C$6="",$I$6="",$L$6=""),"",IF($B57="","",SUBTOTAL(3,$B$11:B57)))</f>
        <v/>
      </c>
      <c r="B57" s="25" t="str">
        <f>IF(OR($C$6="",$I$6="",$L$6=""),"",IF(HKI!$B57="","",HKI!$B57))</f>
        <v/>
      </c>
      <c r="C57" s="26" t="str">
        <f>IF(OR($C$6="",$I$6="",$L$6=""),"",IF(HKI!$C57="","",HKI!$C57))</f>
        <v/>
      </c>
      <c r="D57" s="27" t="str">
        <f>IF(OR($C$6="",$I$6="",$L$6=""),"",IF(HKI!$D57="","",HKI!$D57))</f>
        <v/>
      </c>
      <c r="E57" s="45"/>
      <c r="F57" s="54"/>
      <c r="G57" s="54"/>
      <c r="H57" s="54"/>
      <c r="I57" s="54"/>
      <c r="J57" s="54"/>
      <c r="K57" s="54"/>
      <c r="L57" s="54"/>
      <c r="M57" s="54"/>
      <c r="N57" s="8" t="str">
        <f t="shared" si="1"/>
        <v/>
      </c>
      <c r="O57" s="171" t="str">
        <f t="shared" si="0"/>
        <v/>
      </c>
      <c r="P57" s="165" t="str">
        <f>IF(OR($B57="",$C$6&lt;&gt;HKI!$AF$6,HKI!$AH57=""),"",HKI!$AH57)</f>
        <v/>
      </c>
      <c r="Q57" s="165" t="str">
        <f t="shared" si="2"/>
        <v/>
      </c>
    </row>
    <row r="58" spans="1:17" s="3" customFormat="1" ht="18" customHeight="1">
      <c r="A58" s="1" t="str">
        <f>IF(OR($C$6="",$I$6="",$L$6=""),"",IF($B58="","",SUBTOTAL(3,$B$11:B58)))</f>
        <v/>
      </c>
      <c r="B58" s="25" t="str">
        <f>IF(OR($C$6="",$I$6="",$L$6=""),"",IF(HKI!$B58="","",HKI!$B58))</f>
        <v/>
      </c>
      <c r="C58" s="26" t="str">
        <f>IF(OR($C$6="",$I$6="",$L$6=""),"",IF(HKI!$C58="","",HKI!$C58))</f>
        <v/>
      </c>
      <c r="D58" s="27" t="str">
        <f>IF(OR($C$6="",$I$6="",$L$6=""),"",IF(HKI!$D58="","",HKI!$D58))</f>
        <v/>
      </c>
      <c r="E58" s="45"/>
      <c r="F58" s="54"/>
      <c r="G58" s="54"/>
      <c r="H58" s="54"/>
      <c r="I58" s="54"/>
      <c r="J58" s="54"/>
      <c r="K58" s="54"/>
      <c r="L58" s="54"/>
      <c r="M58" s="54"/>
      <c r="N58" s="8" t="str">
        <f t="shared" si="1"/>
        <v/>
      </c>
      <c r="O58" s="171" t="str">
        <f t="shared" si="0"/>
        <v/>
      </c>
      <c r="P58" s="165" t="str">
        <f>IF(OR($B58="",$C$6&lt;&gt;HKI!$AF$6,HKI!$AH58=""),"",HKI!$AH58)</f>
        <v/>
      </c>
      <c r="Q58" s="165" t="str">
        <f t="shared" si="2"/>
        <v/>
      </c>
    </row>
    <row r="59" spans="1:17" ht="18" customHeight="1">
      <c r="A59" s="1" t="str">
        <f>IF(OR($C$6="",$I$6="",$L$6=""),"",IF($B59="","",SUBTOTAL(3,$B$11:B59)))</f>
        <v/>
      </c>
      <c r="B59" s="25" t="str">
        <f>IF(OR($C$6="",$I$6="",$L$6=""),"",IF(HKI!$B59="","",HKI!$B59))</f>
        <v/>
      </c>
      <c r="C59" s="26" t="str">
        <f>IF(OR($C$6="",$I$6="",$L$6=""),"",IF(HKI!$C59="","",HKI!$C59))</f>
        <v/>
      </c>
      <c r="D59" s="27" t="str">
        <f>IF(OR($C$6="",$I$6="",$L$6=""),"",IF(HKI!$D59="","",HKI!$D59))</f>
        <v/>
      </c>
      <c r="E59" s="45"/>
      <c r="F59" s="54"/>
      <c r="G59" s="54"/>
      <c r="H59" s="54"/>
      <c r="I59" s="54"/>
      <c r="J59" s="54"/>
      <c r="K59" s="54"/>
      <c r="L59" s="54"/>
      <c r="M59" s="54"/>
      <c r="N59" s="8" t="str">
        <f t="shared" si="1"/>
        <v/>
      </c>
      <c r="O59" s="171" t="str">
        <f t="shared" si="0"/>
        <v/>
      </c>
      <c r="P59" s="165" t="str">
        <f>IF(OR($B59="",$C$6&lt;&gt;HKI!$AF$6,HKI!$AH59=""),"",HKI!$AH59)</f>
        <v/>
      </c>
      <c r="Q59" s="165" t="str">
        <f t="shared" si="2"/>
        <v/>
      </c>
    </row>
    <row r="60" spans="1:17" ht="18" customHeight="1">
      <c r="A60" s="1" t="str">
        <f>IF(OR($C$6="",$I$6="",$L$6=""),"",IF($B60="","",SUBTOTAL(3,$B$11:B60)))</f>
        <v/>
      </c>
      <c r="B60" s="25" t="str">
        <f>IF(OR($C$6="",$I$6="",$L$6=""),"",IF(HKI!$B60="","",HKI!$B60))</f>
        <v/>
      </c>
      <c r="C60" s="26" t="str">
        <f>IF(OR($C$6="",$I$6="",$L$6=""),"",IF(HKI!$C60="","",HKI!$C60))</f>
        <v/>
      </c>
      <c r="D60" s="27" t="str">
        <f>IF(OR($C$6="",$I$6="",$L$6=""),"",IF(HKI!$D60="","",HKI!$D60))</f>
        <v/>
      </c>
      <c r="E60" s="45"/>
      <c r="F60" s="54"/>
      <c r="G60" s="54"/>
      <c r="H60" s="54"/>
      <c r="I60" s="54"/>
      <c r="J60" s="54"/>
      <c r="K60" s="54"/>
      <c r="L60" s="54"/>
      <c r="M60" s="54"/>
      <c r="N60" s="8" t="str">
        <f t="shared" si="1"/>
        <v/>
      </c>
      <c r="O60" s="171" t="str">
        <f t="shared" si="0"/>
        <v/>
      </c>
      <c r="P60" s="165" t="str">
        <f>IF(OR($B60="",$C$6&lt;&gt;HKI!$AF$6,HKI!$AH60=""),"",HKI!$AH60)</f>
        <v/>
      </c>
      <c r="Q60" s="165" t="str">
        <f t="shared" si="2"/>
        <v/>
      </c>
    </row>
    <row r="61" spans="1:17" ht="18" customHeight="1">
      <c r="A61" s="1" t="str">
        <f>IF(OR($C$6="",$I$6="",$L$6=""),"",IF($B61="","",SUBTOTAL(3,$B$11:B61)))</f>
        <v/>
      </c>
      <c r="B61" s="25" t="str">
        <f>IF(OR($C$6="",$I$6="",$L$6=""),"",IF(HKI!$B61="","",HKI!$B61))</f>
        <v/>
      </c>
      <c r="C61" s="26" t="str">
        <f>IF(OR($C$6="",$I$6="",$L$6=""),"",IF(HKI!$C61="","",HKI!$C61))</f>
        <v/>
      </c>
      <c r="D61" s="27" t="str">
        <f>IF(OR($C$6="",$I$6="",$L$6=""),"",IF(HKI!$D61="","",HKI!$D61))</f>
        <v/>
      </c>
      <c r="E61" s="45"/>
      <c r="F61" s="54"/>
      <c r="G61" s="54"/>
      <c r="H61" s="54"/>
      <c r="I61" s="54"/>
      <c r="J61" s="54"/>
      <c r="K61" s="54"/>
      <c r="L61" s="54"/>
      <c r="M61" s="54"/>
      <c r="N61" s="8" t="str">
        <f t="shared" si="1"/>
        <v/>
      </c>
      <c r="O61" s="171" t="str">
        <f t="shared" si="0"/>
        <v/>
      </c>
      <c r="P61" s="165" t="str">
        <f>IF(OR($B61="",$C$6&lt;&gt;HKI!$AF$6,HKI!$AH61=""),"",HKI!$AH61)</f>
        <v/>
      </c>
      <c r="Q61" s="165" t="str">
        <f t="shared" si="2"/>
        <v/>
      </c>
    </row>
    <row r="62" spans="1:17" ht="18" customHeight="1">
      <c r="A62" s="1" t="str">
        <f>IF(OR($C$6="",$I$6="",$L$6=""),"",IF($B62="","",SUBTOTAL(3,$B$11:B62)))</f>
        <v/>
      </c>
      <c r="B62" s="25" t="str">
        <f>IF(OR($C$6="",$I$6="",$L$6=""),"",IF(HKI!$B62="","",HKI!$B62))</f>
        <v/>
      </c>
      <c r="C62" s="26" t="str">
        <f>IF(OR($C$6="",$I$6="",$L$6=""),"",IF(HKI!$C62="","",HKI!$C62))</f>
        <v/>
      </c>
      <c r="D62" s="27" t="str">
        <f>IF(OR($C$6="",$I$6="",$L$6=""),"",IF(HKI!$D62="","",HKI!$D62))</f>
        <v/>
      </c>
      <c r="E62" s="45"/>
      <c r="F62" s="54"/>
      <c r="G62" s="54"/>
      <c r="H62" s="54"/>
      <c r="I62" s="54"/>
      <c r="J62" s="54"/>
      <c r="K62" s="54"/>
      <c r="L62" s="54"/>
      <c r="M62" s="54"/>
      <c r="N62" s="8" t="str">
        <f t="shared" si="1"/>
        <v/>
      </c>
      <c r="O62" s="171" t="str">
        <f t="shared" si="0"/>
        <v/>
      </c>
      <c r="P62" s="165" t="str">
        <f>IF(OR($B62="",$C$6&lt;&gt;HKI!$AF$6,HKI!$AH62=""),"",HKI!$AH62)</f>
        <v/>
      </c>
      <c r="Q62" s="165" t="str">
        <f t="shared" si="2"/>
        <v/>
      </c>
    </row>
    <row r="63" spans="1:17" ht="18" customHeight="1">
      <c r="A63" s="1" t="str">
        <f>IF(OR($C$6="",$I$6="",$L$6=""),"",IF($B63="","",SUBTOTAL(3,$B$11:B63)))</f>
        <v/>
      </c>
      <c r="B63" s="25" t="str">
        <f>IF(OR($C$6="",$I$6="",$L$6=""),"",IF(HKI!$B63="","",HKI!$B63))</f>
        <v/>
      </c>
      <c r="C63" s="26" t="str">
        <f>IF(OR($C$6="",$I$6="",$L$6=""),"",IF(HKI!$C63="","",HKI!$C63))</f>
        <v/>
      </c>
      <c r="D63" s="27" t="str">
        <f>IF(OR($C$6="",$I$6="",$L$6=""),"",IF(HKI!$D63="","",HKI!$D63))</f>
        <v/>
      </c>
      <c r="E63" s="45"/>
      <c r="F63" s="54"/>
      <c r="G63" s="54"/>
      <c r="H63" s="54"/>
      <c r="I63" s="54"/>
      <c r="J63" s="54"/>
      <c r="K63" s="54"/>
      <c r="L63" s="54"/>
      <c r="M63" s="54"/>
      <c r="N63" s="8" t="str">
        <f t="shared" si="1"/>
        <v/>
      </c>
      <c r="O63" s="171" t="str">
        <f t="shared" si="0"/>
        <v/>
      </c>
      <c r="P63" s="165" t="str">
        <f>IF(OR($B63="",$C$6&lt;&gt;HKI!$AF$6,HKI!$AH63=""),"",HKI!$AH63)</f>
        <v/>
      </c>
      <c r="Q63" s="165" t="str">
        <f t="shared" si="2"/>
        <v/>
      </c>
    </row>
    <row r="64" spans="1:17" ht="18" customHeight="1">
      <c r="A64" s="1" t="str">
        <f>IF(OR($C$6="",$I$6="",$L$6=""),"",IF($B64="","",SUBTOTAL(3,$B$11:B64)))</f>
        <v/>
      </c>
      <c r="B64" s="25" t="str">
        <f>IF(OR($C$6="",$I$6="",$L$6=""),"",IF(HKI!$B64="","",HKI!$B64))</f>
        <v/>
      </c>
      <c r="C64" s="26" t="str">
        <f>IF(OR($C$6="",$I$6="",$L$6=""),"",IF(HKI!$C64="","",HKI!$C64))</f>
        <v/>
      </c>
      <c r="D64" s="27" t="str">
        <f>IF(OR($C$6="",$I$6="",$L$6=""),"",IF(HKI!$D64="","",HKI!$D64))</f>
        <v/>
      </c>
      <c r="E64" s="45"/>
      <c r="F64" s="54"/>
      <c r="G64" s="54"/>
      <c r="H64" s="54"/>
      <c r="I64" s="54"/>
      <c r="J64" s="54"/>
      <c r="K64" s="54"/>
      <c r="L64" s="54"/>
      <c r="M64" s="54"/>
      <c r="N64" s="8" t="str">
        <f t="shared" si="1"/>
        <v/>
      </c>
      <c r="O64" s="171" t="str">
        <f t="shared" si="0"/>
        <v/>
      </c>
      <c r="P64" s="165" t="str">
        <f>IF(OR($B64="",$C$6&lt;&gt;HKI!$AF$6,HKI!$AH64=""),"",HKI!$AH64)</f>
        <v/>
      </c>
      <c r="Q64" s="165" t="str">
        <f t="shared" si="2"/>
        <v/>
      </c>
    </row>
    <row r="65" spans="1:17" ht="18" customHeight="1">
      <c r="A65" s="1" t="str">
        <f>IF(OR($C$6="",$I$6="",$L$6=""),"",IF($B65="","",SUBTOTAL(3,$B$11:B65)))</f>
        <v/>
      </c>
      <c r="B65" s="25" t="str">
        <f>IF(OR($C$6="",$I$6="",$L$6=""),"",IF(HKI!$B65="","",HKI!$B65))</f>
        <v/>
      </c>
      <c r="C65" s="26" t="str">
        <f>IF(OR($C$6="",$I$6="",$L$6=""),"",IF(HKI!$C65="","",HKI!$C65))</f>
        <v/>
      </c>
      <c r="D65" s="27" t="str">
        <f>IF(OR($C$6="",$I$6="",$L$6=""),"",IF(HKI!$D65="","",HKI!$D65))</f>
        <v/>
      </c>
      <c r="E65" s="45"/>
      <c r="F65" s="54"/>
      <c r="G65" s="54"/>
      <c r="H65" s="54"/>
      <c r="I65" s="54"/>
      <c r="J65" s="54"/>
      <c r="K65" s="54"/>
      <c r="L65" s="54"/>
      <c r="M65" s="54"/>
      <c r="N65" s="8" t="str">
        <f t="shared" si="1"/>
        <v/>
      </c>
      <c r="O65" s="171" t="str">
        <f t="shared" si="0"/>
        <v/>
      </c>
      <c r="P65" s="165" t="str">
        <f>IF(OR($B65="",$C$6&lt;&gt;HKI!$AF$6,HKI!$AH65=""),"",HKI!$AH65)</f>
        <v/>
      </c>
      <c r="Q65" s="165" t="str">
        <f t="shared" si="2"/>
        <v/>
      </c>
    </row>
    <row r="66" spans="1:17" ht="18" customHeight="1">
      <c r="A66" s="1" t="str">
        <f>IF(OR($C$6="",$I$6="",$L$6=""),"",IF($B66="","",SUBTOTAL(3,$B$11:B66)))</f>
        <v/>
      </c>
      <c r="B66" s="25" t="str">
        <f>IF(OR($C$6="",$I$6="",$L$6=""),"",IF(HKI!$B66="","",HKI!$B66))</f>
        <v/>
      </c>
      <c r="C66" s="26" t="str">
        <f>IF(OR($C$6="",$I$6="",$L$6=""),"",IF(HKI!$C66="","",HKI!$C66))</f>
        <v/>
      </c>
      <c r="D66" s="27" t="str">
        <f>IF(OR($C$6="",$I$6="",$L$6=""),"",IF(HKI!$D66="","",HKI!$D66))</f>
        <v/>
      </c>
      <c r="E66" s="45"/>
      <c r="F66" s="54"/>
      <c r="G66" s="54"/>
      <c r="H66" s="54"/>
      <c r="I66" s="54"/>
      <c r="J66" s="54"/>
      <c r="K66" s="54"/>
      <c r="L66" s="54"/>
      <c r="M66" s="54"/>
      <c r="N66" s="8" t="str">
        <f t="shared" si="1"/>
        <v/>
      </c>
      <c r="O66" s="171" t="str">
        <f t="shared" si="0"/>
        <v/>
      </c>
      <c r="P66" s="165" t="str">
        <f>IF(OR($B66="",$C$6&lt;&gt;HKI!$AF$6,HKI!$AH66=""),"",HKI!$AH66)</f>
        <v/>
      </c>
      <c r="Q66" s="165" t="str">
        <f t="shared" si="2"/>
        <v/>
      </c>
    </row>
    <row r="67" spans="1:17" ht="18" customHeight="1">
      <c r="A67" s="1" t="str">
        <f>IF(OR($C$6="",$I$6="",$L$6=""),"",IF($B67="","",SUBTOTAL(3,$B$11:B67)))</f>
        <v/>
      </c>
      <c r="B67" s="25" t="str">
        <f>IF(OR($C$6="",$I$6="",$L$6=""),"",IF(HKI!$B67="","",HKI!$B67))</f>
        <v/>
      </c>
      <c r="C67" s="26" t="str">
        <f>IF(OR($C$6="",$I$6="",$L$6=""),"",IF(HKI!$C67="","",HKI!$C67))</f>
        <v/>
      </c>
      <c r="D67" s="27" t="str">
        <f>IF(OR($C$6="",$I$6="",$L$6=""),"",IF(HKI!$D67="","",HKI!$D67))</f>
        <v/>
      </c>
      <c r="E67" s="45"/>
      <c r="F67" s="54"/>
      <c r="G67" s="54"/>
      <c r="H67" s="54"/>
      <c r="I67" s="54"/>
      <c r="J67" s="54"/>
      <c r="K67" s="54"/>
      <c r="L67" s="54"/>
      <c r="M67" s="54"/>
      <c r="N67" s="8" t="str">
        <f t="shared" si="1"/>
        <v/>
      </c>
      <c r="O67" s="171" t="str">
        <f t="shared" si="0"/>
        <v/>
      </c>
      <c r="P67" s="165" t="str">
        <f>IF(OR($B67="",$C$6&lt;&gt;HKI!$AF$6,HKI!$AH67=""),"",HKI!$AH67)</f>
        <v/>
      </c>
      <c r="Q67" s="165" t="str">
        <f t="shared" si="2"/>
        <v/>
      </c>
    </row>
    <row r="68" spans="1:17" ht="18" customHeight="1">
      <c r="A68" s="1" t="str">
        <f>IF(OR($C$6="",$I$6="",$L$6=""),"",IF($B68="","",SUBTOTAL(3,$B$11:B68)))</f>
        <v/>
      </c>
      <c r="B68" s="25" t="str">
        <f>IF(OR($C$6="",$I$6="",$L$6=""),"",IF(HKI!$B68="","",HKI!$B68))</f>
        <v/>
      </c>
      <c r="C68" s="26" t="str">
        <f>IF(OR($C$6="",$I$6="",$L$6=""),"",IF(HKI!$C68="","",HKI!$C68))</f>
        <v/>
      </c>
      <c r="D68" s="27" t="str">
        <f>IF(OR($C$6="",$I$6="",$L$6=""),"",IF(HKI!$D68="","",HKI!$D68))</f>
        <v/>
      </c>
      <c r="E68" s="45"/>
      <c r="F68" s="42"/>
      <c r="G68" s="42"/>
      <c r="H68" s="42"/>
      <c r="I68" s="42"/>
      <c r="J68" s="42"/>
      <c r="K68" s="42"/>
      <c r="L68" s="42"/>
      <c r="M68" s="42"/>
      <c r="N68" s="8" t="str">
        <f t="shared" si="1"/>
        <v/>
      </c>
      <c r="O68" s="171" t="str">
        <f t="shared" si="0"/>
        <v/>
      </c>
      <c r="P68" s="165" t="str">
        <f>IF(OR($B68="",$C$6&lt;&gt;HKI!$AF$6,HKI!$AH68=""),"",HKI!$AH68)</f>
        <v/>
      </c>
      <c r="Q68" s="165" t="str">
        <f t="shared" si="2"/>
        <v/>
      </c>
    </row>
    <row r="69" spans="1:17" ht="18" customHeight="1">
      <c r="A69" s="1" t="str">
        <f>IF(OR($C$6="",$I$6="",$L$6=""),"",IF($B69="","",SUBTOTAL(3,$B$11:B69)))</f>
        <v/>
      </c>
      <c r="B69" s="25" t="str">
        <f>IF(OR($C$6="",$I$6="",$L$6=""),"",IF(HKI!$B69="","",HKI!$B69))</f>
        <v/>
      </c>
      <c r="C69" s="26" t="str">
        <f>IF(OR($C$6="",$I$6="",$L$6=""),"",IF(HKI!$C69="","",HKI!$C69))</f>
        <v/>
      </c>
      <c r="D69" s="27" t="str">
        <f>IF(OR($C$6="",$I$6="",$L$6=""),"",IF(HKI!$D69="","",HKI!$D69))</f>
        <v/>
      </c>
      <c r="E69" s="45"/>
      <c r="F69" s="42"/>
      <c r="G69" s="42"/>
      <c r="H69" s="42"/>
      <c r="I69" s="42"/>
      <c r="J69" s="42"/>
      <c r="K69" s="42"/>
      <c r="L69" s="42"/>
      <c r="M69" s="42"/>
      <c r="N69" s="8" t="str">
        <f t="shared" si="1"/>
        <v/>
      </c>
      <c r="O69" s="171" t="str">
        <f t="shared" si="0"/>
        <v/>
      </c>
      <c r="P69" s="165" t="str">
        <f>IF(OR($B69="",$C$6&lt;&gt;HKI!$AF$6,HKI!$AH69=""),"",HKI!$AH69)</f>
        <v/>
      </c>
      <c r="Q69" s="165" t="str">
        <f t="shared" si="2"/>
        <v/>
      </c>
    </row>
    <row r="70" spans="1:17" ht="18" customHeight="1">
      <c r="A70" s="1" t="str">
        <f>IF(OR($C$6="",$I$6="",$L$6=""),"",IF($B70="","",SUBTOTAL(3,$B$11:B70)))</f>
        <v/>
      </c>
      <c r="B70" s="25" t="str">
        <f>IF(OR($C$6="",$I$6="",$L$6=""),"",IF(HKI!$B70="","",HKI!$B70))</f>
        <v/>
      </c>
      <c r="C70" s="26" t="str">
        <f>IF(OR($C$6="",$I$6="",$L$6=""),"",IF(HKI!$C70="","",HKI!$C70))</f>
        <v/>
      </c>
      <c r="D70" s="27" t="str">
        <f>IF(OR($C$6="",$I$6="",$L$6=""),"",IF(HKI!$D70="","",HKI!$D70))</f>
        <v/>
      </c>
      <c r="E70" s="45"/>
      <c r="F70" s="42"/>
      <c r="G70" s="42"/>
      <c r="H70" s="42"/>
      <c r="I70" s="42"/>
      <c r="J70" s="42"/>
      <c r="K70" s="42"/>
      <c r="L70" s="42"/>
      <c r="M70" s="42"/>
      <c r="N70" s="8" t="str">
        <f t="shared" si="1"/>
        <v/>
      </c>
      <c r="O70" s="171" t="str">
        <f t="shared" si="0"/>
        <v/>
      </c>
      <c r="P70" s="165" t="str">
        <f>IF(OR($B70="",$C$6&lt;&gt;HKI!$AF$6,HKI!$AH70=""),"",HKI!$AH70)</f>
        <v/>
      </c>
      <c r="Q70" s="165" t="str">
        <f t="shared" si="2"/>
        <v/>
      </c>
    </row>
    <row r="71" spans="1:17" ht="18" customHeight="1">
      <c r="A71" s="1" t="str">
        <f>IF(OR($C$6="",$I$6="",$L$6=""),"",IF($B71="","",SUBTOTAL(3,$B$11:B71)))</f>
        <v/>
      </c>
      <c r="B71" s="25" t="str">
        <f>IF(OR($C$6="",$I$6="",$L$6=""),"",IF(HKI!$B71="","",HKI!$B71))</f>
        <v/>
      </c>
      <c r="C71" s="26" t="str">
        <f>IF(OR($C$6="",$I$6="",$L$6=""),"",IF(HKI!$C71="","",HKI!$C71))</f>
        <v/>
      </c>
      <c r="D71" s="27" t="str">
        <f>IF(OR($C$6="",$I$6="",$L$6=""),"",IF(HKI!$D71="","",HKI!$D71))</f>
        <v/>
      </c>
      <c r="E71" s="45"/>
      <c r="F71" s="42"/>
      <c r="G71" s="42"/>
      <c r="H71" s="42"/>
      <c r="I71" s="42"/>
      <c r="J71" s="42"/>
      <c r="K71" s="42"/>
      <c r="L71" s="42"/>
      <c r="M71" s="42"/>
      <c r="N71" s="8" t="str">
        <f t="shared" si="1"/>
        <v/>
      </c>
      <c r="O71" s="171" t="str">
        <f t="shared" si="0"/>
        <v/>
      </c>
      <c r="P71" s="165" t="str">
        <f>IF(OR($B71="",$C$6&lt;&gt;HKI!$AF$6,HKI!$AH71=""),"",HKI!$AH71)</f>
        <v/>
      </c>
      <c r="Q71" s="165" t="str">
        <f t="shared" si="2"/>
        <v/>
      </c>
    </row>
    <row r="72" spans="1:17" ht="18" customHeight="1">
      <c r="A72" s="1" t="str">
        <f>IF(OR($C$6="",$I$6="",$L$6=""),"",IF($B72="","",SUBTOTAL(3,$B$11:B72)))</f>
        <v/>
      </c>
      <c r="B72" s="25" t="str">
        <f>IF(OR($C$6="",$I$6="",$L$6=""),"",IF(HKI!$B72="","",HKI!$B72))</f>
        <v/>
      </c>
      <c r="C72" s="26" t="str">
        <f>IF(OR($C$6="",$I$6="",$L$6=""),"",IF(HKI!$C72="","",HKI!$C72))</f>
        <v/>
      </c>
      <c r="D72" s="27" t="str">
        <f>IF(OR($C$6="",$I$6="",$L$6=""),"",IF(HKI!$D72="","",HKI!$D72))</f>
        <v/>
      </c>
      <c r="E72" s="45"/>
      <c r="F72" s="42"/>
      <c r="G72" s="42"/>
      <c r="H72" s="42"/>
      <c r="I72" s="42"/>
      <c r="J72" s="42"/>
      <c r="K72" s="42"/>
      <c r="L72" s="42"/>
      <c r="M72" s="42"/>
      <c r="N72" s="8" t="str">
        <f t="shared" si="1"/>
        <v/>
      </c>
      <c r="O72" s="171" t="str">
        <f t="shared" si="0"/>
        <v/>
      </c>
      <c r="P72" s="165" t="str">
        <f>IF(OR($B72="",$C$6&lt;&gt;HKI!$AF$6,HKI!$AH72=""),"",HKI!$AH72)</f>
        <v/>
      </c>
      <c r="Q72" s="165" t="str">
        <f t="shared" si="2"/>
        <v/>
      </c>
    </row>
    <row r="73" spans="1:17" ht="18" customHeight="1">
      <c r="A73" s="1" t="str">
        <f>IF(OR($C$6="",$I$6="",$L$6=""),"",IF($B73="","",SUBTOTAL(3,$B$11:B73)))</f>
        <v/>
      </c>
      <c r="B73" s="25" t="str">
        <f>IF(OR($C$6="",$I$6="",$L$6=""),"",IF(HKI!$B73="","",HKI!$B73))</f>
        <v/>
      </c>
      <c r="C73" s="26" t="str">
        <f>IF(OR($C$6="",$I$6="",$L$6=""),"",IF(HKI!$C73="","",HKI!$C73))</f>
        <v/>
      </c>
      <c r="D73" s="27" t="str">
        <f>IF(OR($C$6="",$I$6="",$L$6=""),"",IF(HKI!$D73="","",HKI!$D73))</f>
        <v/>
      </c>
      <c r="E73" s="45"/>
      <c r="F73" s="42"/>
      <c r="G73" s="42"/>
      <c r="H73" s="42"/>
      <c r="I73" s="42"/>
      <c r="J73" s="42"/>
      <c r="K73" s="42"/>
      <c r="L73" s="42"/>
      <c r="M73" s="42"/>
      <c r="N73" s="8" t="str">
        <f t="shared" si="1"/>
        <v/>
      </c>
      <c r="O73" s="171" t="str">
        <f t="shared" si="0"/>
        <v/>
      </c>
      <c r="P73" s="165" t="str">
        <f>IF(OR($B73="",$C$6&lt;&gt;HKI!$AF$6,HKI!$AH73=""),"",HKI!$AH73)</f>
        <v/>
      </c>
      <c r="Q73" s="165" t="str">
        <f t="shared" si="2"/>
        <v/>
      </c>
    </row>
    <row r="74" spans="1:17" ht="18" customHeight="1">
      <c r="A74" s="1" t="str">
        <f>IF(OR($C$6="",$I$6="",$L$6=""),"",IF($B74="","",SUBTOTAL(3,$B$11:B74)))</f>
        <v/>
      </c>
      <c r="B74" s="25" t="str">
        <f>IF(OR($C$6="",$I$6="",$L$6=""),"",IF(HKI!$B74="","",HKI!$B74))</f>
        <v/>
      </c>
      <c r="C74" s="26" t="str">
        <f>IF(OR($C$6="",$I$6="",$L$6=""),"",IF(HKI!$C74="","",HKI!$C74))</f>
        <v/>
      </c>
      <c r="D74" s="27" t="str">
        <f>IF(OR($C$6="",$I$6="",$L$6=""),"",IF(HKI!$D74="","",HKI!$D74))</f>
        <v/>
      </c>
      <c r="E74" s="45"/>
      <c r="F74" s="42"/>
      <c r="G74" s="42"/>
      <c r="H74" s="42"/>
      <c r="I74" s="42"/>
      <c r="J74" s="42"/>
      <c r="K74" s="42"/>
      <c r="L74" s="42"/>
      <c r="M74" s="42"/>
      <c r="N74" s="8" t="str">
        <f t="shared" si="1"/>
        <v/>
      </c>
      <c r="O74" s="171" t="str">
        <f t="shared" si="0"/>
        <v/>
      </c>
      <c r="P74" s="165" t="str">
        <f>IF(OR($B74="",$C$6&lt;&gt;HKI!$AF$6,HKI!$AH74=""),"",HKI!$AH74)</f>
        <v/>
      </c>
      <c r="Q74" s="165" t="str">
        <f t="shared" si="2"/>
        <v/>
      </c>
    </row>
    <row r="75" spans="1:17" ht="18" customHeight="1">
      <c r="A75" s="1" t="str">
        <f>IF(OR($C$6="",$I$6="",$L$6=""),"",IF($B75="","",SUBTOTAL(3,$B$11:B75)))</f>
        <v/>
      </c>
      <c r="B75" s="25" t="str">
        <f>IF(OR($C$6="",$I$6="",$L$6=""),"",IF(HKI!$B75="","",HKI!$B75))</f>
        <v/>
      </c>
      <c r="C75" s="26" t="str">
        <f>IF(OR($C$6="",$I$6="",$L$6=""),"",IF(HKI!$C75="","",HKI!$C75))</f>
        <v/>
      </c>
      <c r="D75" s="27" t="str">
        <f>IF(OR($C$6="",$I$6="",$L$6=""),"",IF(HKI!$D75="","",HKI!$D75))</f>
        <v/>
      </c>
      <c r="E75" s="45"/>
      <c r="F75" s="42"/>
      <c r="G75" s="42"/>
      <c r="H75" s="42"/>
      <c r="I75" s="42"/>
      <c r="J75" s="42"/>
      <c r="K75" s="42"/>
      <c r="L75" s="42"/>
      <c r="M75" s="42"/>
      <c r="N75" s="8" t="str">
        <f t="shared" si="1"/>
        <v/>
      </c>
      <c r="O75" s="171" t="str">
        <f t="shared" ref="O75:O80" si="3">IF($B75="","",IF($N75="","KXL",IF($N75&lt;4,"Kém",IF($N75&lt;5.5,"TB Yếu",IF($N75&lt;7,"T.Bình",IF($N75&lt;8.5,"Khá","Giỏi"))))))</f>
        <v/>
      </c>
      <c r="P75" s="165" t="str">
        <f>IF(OR($B75="",$C$6&lt;&gt;HKI!$AF$6,HKI!$AH75=""),"",HKI!$AH75)</f>
        <v/>
      </c>
      <c r="Q75" s="165" t="str">
        <f t="shared" si="2"/>
        <v/>
      </c>
    </row>
    <row r="76" spans="1:17" s="10" customFormat="1" ht="18" customHeight="1">
      <c r="A76" s="1" t="str">
        <f>IF(OR($C$6="",$I$6="",$L$6=""),"",IF($B76="","",SUBTOTAL(3,$B$11:B76)))</f>
        <v/>
      </c>
      <c r="B76" s="25" t="str">
        <f>IF(OR($C$6="",$I$6="",$L$6=""),"",IF(HKI!$B76="","",HKI!$B76))</f>
        <v/>
      </c>
      <c r="C76" s="26" t="str">
        <f>IF(OR($C$6="",$I$6="",$L$6=""),"",IF(HKI!$C76="","",HKI!$C76))</f>
        <v/>
      </c>
      <c r="D76" s="27" t="str">
        <f>IF(OR($C$6="",$I$6="",$L$6=""),"",IF(HKI!$D76="","",HKI!$D76))</f>
        <v/>
      </c>
      <c r="E76" s="45"/>
      <c r="F76" s="42"/>
      <c r="G76" s="42"/>
      <c r="H76" s="42"/>
      <c r="I76" s="42"/>
      <c r="J76" s="42"/>
      <c r="K76" s="42"/>
      <c r="L76" s="42"/>
      <c r="M76" s="42"/>
      <c r="N76" s="8" t="str">
        <f>IF($B76="","",IF(ISNUMBER($E76)=TRUE,$E76,IF(COUNT($F76:$M76)=0,"",IF(COUNT($F76:$K76)=0,ROUND(0.3*$L76+0.5*$M76,1),ROUND(0.2*(SUM($F76:$K76)/COUNT($F76:$K76))+0.3*$L76+0.5*$M76,1)))))</f>
        <v/>
      </c>
      <c r="O76" s="171" t="str">
        <f t="shared" si="3"/>
        <v/>
      </c>
      <c r="P76" s="165" t="str">
        <f>IF(OR($B76="",$C$6&lt;&gt;HKI!$AF$6,HKI!$AH76=""),"",HKI!$AH76)</f>
        <v/>
      </c>
      <c r="Q76" s="165" t="str">
        <f>IF(OR(ISNUMBER($E76)=TRUE,$B76="",$P76=""),"",IF(COUNT($F76:$M76)=0,"",IF($M76&gt;=$P76,$N76,IF(COUNT($F76:$K76)=0,ROUND(0.3*$L76+0.5*$P76,1),ROUND(0.2*(SUM($F76:$K76)/COUNT($F76:$K76))+0.3*$L76+0.5*$P76,1)))))</f>
        <v/>
      </c>
    </row>
    <row r="77" spans="1:17" s="10" customFormat="1" ht="18" customHeight="1">
      <c r="A77" s="1" t="str">
        <f>IF(OR($C$6="",$I$6="",$L$6=""),"",IF($B77="","",SUBTOTAL(3,$B$11:B77)))</f>
        <v/>
      </c>
      <c r="B77" s="25" t="str">
        <f>IF(OR($C$6="",$I$6="",$L$6=""),"",IF(HKI!$B77="","",HKI!$B77))</f>
        <v/>
      </c>
      <c r="C77" s="26" t="str">
        <f>IF(OR($C$6="",$I$6="",$L$6=""),"",IF(HKI!$C77="","",HKI!$C77))</f>
        <v/>
      </c>
      <c r="D77" s="27" t="str">
        <f>IF(OR($C$6="",$I$6="",$L$6=""),"",IF(HKI!$D77="","",HKI!$D77))</f>
        <v/>
      </c>
      <c r="E77" s="45"/>
      <c r="F77" s="42"/>
      <c r="G77" s="42"/>
      <c r="H77" s="42"/>
      <c r="I77" s="42"/>
      <c r="J77" s="42"/>
      <c r="K77" s="42"/>
      <c r="L77" s="42"/>
      <c r="M77" s="42"/>
      <c r="N77" s="8" t="str">
        <f>IF($B77="","",IF(ISNUMBER($E77)=TRUE,$E77,IF(COUNT($F77:$M77)=0,"",IF(COUNT($F77:$K77)=0,ROUND(0.3*$L77+0.5*$M77,1),ROUND(0.2*(SUM($F77:$K77)/COUNT($F77:$K77))+0.3*$L77+0.5*$M77,1)))))</f>
        <v/>
      </c>
      <c r="O77" s="171" t="str">
        <f t="shared" si="3"/>
        <v/>
      </c>
      <c r="P77" s="165" t="str">
        <f>IF(OR($B77="",$C$6&lt;&gt;HKI!$AF$6,HKI!$AH77=""),"",HKI!$AH77)</f>
        <v/>
      </c>
      <c r="Q77" s="165" t="str">
        <f>IF(OR(ISNUMBER($E77)=TRUE,$B77="",$P77=""),"",IF(COUNT($F77:$M77)=0,"",IF($M77&gt;=$P77,$N77,IF(COUNT($F77:$K77)=0,ROUND(0.3*$L77+0.5*$P77,1),ROUND(0.2*(SUM($F77:$K77)/COUNT($F77:$K77))+0.3*$L77+0.5*$P77,1)))))</f>
        <v/>
      </c>
    </row>
    <row r="78" spans="1:17" s="10" customFormat="1" ht="18" customHeight="1">
      <c r="A78" s="1" t="str">
        <f>IF(OR($C$6="",$I$6="",$L$6=""),"",IF($B78="","",SUBTOTAL(3,$B$11:B78)))</f>
        <v/>
      </c>
      <c r="B78" s="25" t="str">
        <f>IF(OR($C$6="",$I$6="",$L$6=""),"",IF(HKI!$B78="","",HKI!$B78))</f>
        <v/>
      </c>
      <c r="C78" s="26" t="str">
        <f>IF(OR($C$6="",$I$6="",$L$6=""),"",IF(HKI!$C78="","",HKI!$C78))</f>
        <v/>
      </c>
      <c r="D78" s="27" t="str">
        <f>IF(OR($C$6="",$I$6="",$L$6=""),"",IF(HKI!$D78="","",HKI!$D78))</f>
        <v/>
      </c>
      <c r="E78" s="45"/>
      <c r="F78" s="42"/>
      <c r="G78" s="42"/>
      <c r="H78" s="42"/>
      <c r="I78" s="42"/>
      <c r="J78" s="42"/>
      <c r="K78" s="42"/>
      <c r="L78" s="42"/>
      <c r="M78" s="42"/>
      <c r="N78" s="8" t="str">
        <f>IF($B78="","",IF(ISNUMBER($E78)=TRUE,$E78,IF(COUNT($F78:$M78)=0,"",IF(COUNT($F78:$K78)=0,ROUND(0.3*$L78+0.5*$M78,1),ROUND(0.2*(SUM($F78:$K78)/COUNT($F78:$K78))+0.3*$L78+0.5*$M78,1)))))</f>
        <v/>
      </c>
      <c r="O78" s="171" t="str">
        <f t="shared" si="3"/>
        <v/>
      </c>
      <c r="P78" s="165" t="str">
        <f>IF(OR($B78="",$C$6&lt;&gt;HKI!$AF$6,HKI!$AH78=""),"",HKI!$AH78)</f>
        <v/>
      </c>
      <c r="Q78" s="165" t="str">
        <f>IF(OR(ISNUMBER($E78)=TRUE,$B78="",$P78=""),"",IF(COUNT($F78:$M78)=0,"",IF($M78&gt;=$P78,$N78,IF(COUNT($F78:$K78)=0,ROUND(0.3*$L78+0.5*$P78,1),ROUND(0.2*(SUM($F78:$K78)/COUNT($F78:$K78))+0.3*$L78+0.5*$P78,1)))))</f>
        <v/>
      </c>
    </row>
    <row r="79" spans="1:17" s="10" customFormat="1" ht="18" customHeight="1">
      <c r="A79" s="1" t="str">
        <f>IF(OR($C$6="",$I$6="",$L$6=""),"",IF($B79="","",SUBTOTAL(3,$B$11:B79)))</f>
        <v/>
      </c>
      <c r="B79" s="25" t="str">
        <f>IF(OR($C$6="",$I$6="",$L$6=""),"",IF(HKI!$B79="","",HKI!$B79))</f>
        <v/>
      </c>
      <c r="C79" s="26" t="str">
        <f>IF(OR($C$6="",$I$6="",$L$6=""),"",IF(HKI!$C79="","",HKI!$C79))</f>
        <v/>
      </c>
      <c r="D79" s="27" t="str">
        <f>IF(OR($C$6="",$I$6="",$L$6=""),"",IF(HKI!$D79="","",HKI!$D79))</f>
        <v/>
      </c>
      <c r="E79" s="45"/>
      <c r="F79" s="42"/>
      <c r="G79" s="42"/>
      <c r="H79" s="42"/>
      <c r="I79" s="42"/>
      <c r="J79" s="42"/>
      <c r="K79" s="42"/>
      <c r="L79" s="42"/>
      <c r="M79" s="42"/>
      <c r="N79" s="8" t="str">
        <f>IF($B79="","",IF(ISNUMBER($E79)=TRUE,$E79,IF(COUNT($F79:$M79)=0,"",IF(COUNT($F79:$K79)=0,ROUND(0.3*$L79+0.5*$M79,1),ROUND(0.2*(SUM($F79:$K79)/COUNT($F79:$K79))+0.3*$L79+0.5*$M79,1)))))</f>
        <v/>
      </c>
      <c r="O79" s="171" t="str">
        <f t="shared" si="3"/>
        <v/>
      </c>
      <c r="P79" s="165" t="str">
        <f>IF(OR($B79="",$C$6&lt;&gt;HKI!$AF$6,HKI!$AH79=""),"",HKI!$AH79)</f>
        <v/>
      </c>
      <c r="Q79" s="165" t="str">
        <f>IF(OR(ISNUMBER($E79)=TRUE,$B79="",$P79=""),"",IF(COUNT($F79:$M79)=0,"",IF($M79&gt;=$P79,$N79,IF(COUNT($F79:$K79)=0,ROUND(0.3*$L79+0.5*$P79,1),ROUND(0.2*(SUM($F79:$K79)/COUNT($F79:$K79))+0.3*$L79+0.5*$P79,1)))))</f>
        <v/>
      </c>
    </row>
    <row r="80" spans="1:17" s="10" customFormat="1" ht="18" customHeight="1">
      <c r="A80" s="1" t="str">
        <f>IF(OR($C$6="",$I$6="",$L$6=""),"",IF($B80="","",SUBTOTAL(3,$B$11:B80)))</f>
        <v/>
      </c>
      <c r="B80" s="25" t="str">
        <f>IF(OR($C$6="",$I$6="",$L$6=""),"",IF(HKI!$B80="","",HKI!$B80))</f>
        <v/>
      </c>
      <c r="C80" s="26" t="str">
        <f>IF(OR($C$6="",$I$6="",$L$6=""),"",IF(HKI!$C80="","",HKI!$C80))</f>
        <v/>
      </c>
      <c r="D80" s="27" t="str">
        <f>IF(OR($C$6="",$I$6="",$L$6=""),"",IF(HKI!$D80="","",HKI!$D80))</f>
        <v/>
      </c>
      <c r="E80" s="45"/>
      <c r="F80" s="42"/>
      <c r="G80" s="42"/>
      <c r="H80" s="42"/>
      <c r="I80" s="42"/>
      <c r="J80" s="42"/>
      <c r="K80" s="42"/>
      <c r="L80" s="42"/>
      <c r="M80" s="42"/>
      <c r="N80" s="8" t="str">
        <f>IF($B80="","",IF(ISNUMBER($E80)=TRUE,$E80,IF(COUNT($F80:$M80)=0,"",IF(COUNT($F80:$K80)=0,ROUND(0.3*$L80+0.5*$M80,1),ROUND(0.2*(SUM($F80:$K80)/COUNT($F80:$K80))+0.3*$L80+0.5*$M80,1)))))</f>
        <v/>
      </c>
      <c r="O80" s="171" t="str">
        <f t="shared" si="3"/>
        <v/>
      </c>
      <c r="P80" s="165" t="str">
        <f>IF(OR($B80="",$C$6&lt;&gt;HKI!$AF$6,HKI!$AH80=""),"",HKI!$AH80)</f>
        <v/>
      </c>
      <c r="Q80" s="165" t="str">
        <f>IF(OR(ISNUMBER($E80)=TRUE,$B80="",$P80=""),"",IF(COUNT($F80:$M80)=0,"",IF($M80&gt;=$P80,$N80,IF(COUNT($F80:$K80)=0,ROUND(0.3*$L80+0.5*$P80,1),ROUND(0.2*(SUM($F80:$K80)/COUNT($F80:$K80))+0.3*$L80+0.5*$P80,1)))))</f>
        <v/>
      </c>
    </row>
    <row r="81" spans="1:16" s="146" customFormat="1" ht="16.5" customHeight="1">
      <c r="A81" s="653" t="s">
        <v>1459</v>
      </c>
      <c r="B81" s="653"/>
      <c r="C81" s="653"/>
      <c r="D81" s="653"/>
      <c r="E81" s="653"/>
      <c r="F81" s="653"/>
      <c r="G81" s="653"/>
      <c r="H81" s="653"/>
      <c r="I81" s="653"/>
      <c r="J81" s="653"/>
      <c r="K81" s="653"/>
      <c r="L81" s="653"/>
      <c r="M81" s="653"/>
      <c r="N81" s="163"/>
      <c r="O81" s="56"/>
      <c r="P81" s="56"/>
    </row>
    <row r="82" spans="1:16" s="10" customFormat="1">
      <c r="A82" s="4"/>
      <c r="B82" s="663" t="str">
        <f>"Tổng danh sách có"</f>
        <v>Tổng danh sách có</v>
      </c>
      <c r="C82" s="663"/>
      <c r="D82" s="663"/>
      <c r="E82" s="663"/>
      <c r="F82" s="170" t="str">
        <f>": "&amp;MAX($A$11:$A$80)&amp;" SV"</f>
        <v>: 0 SV</v>
      </c>
      <c r="K82" s="5"/>
      <c r="L82" s="5"/>
      <c r="M82" s="5"/>
      <c r="N82" s="5"/>
      <c r="O82" s="4"/>
    </row>
    <row r="83" spans="1:16" s="10" customFormat="1">
      <c r="A83" s="3"/>
      <c r="B83" s="658" t="str">
        <f>"Tổng số SV có điểm Giỏi từ 8,5 đ đến 10 đ"</f>
        <v>Tổng số SV có điểm Giỏi từ 8,5 đ đến 10 đ</v>
      </c>
      <c r="C83" s="658"/>
      <c r="D83" s="658"/>
      <c r="E83" s="658"/>
      <c r="F83" s="126" t="str">
        <f>": "&amp;COUNTIF($O$11:$O$80,"Giỏi")&amp;" SV"</f>
        <v>: 0 SV</v>
      </c>
      <c r="H83" s="662" t="str">
        <f>IF(B11="","","("&amp;ROUND(COUNTIF($O$11:$O$80,"Giỏi")*100/MAX($A$11:$A$80),2)&amp;"%" &amp;")")</f>
        <v/>
      </c>
      <c r="I83" s="662"/>
      <c r="J83" s="662"/>
      <c r="K83" s="645" t="str">
        <f>IF(B11="","","Tổng số SV có điểm &gt;= 4 đ : "&amp;COUNTIF(N11:N80,"&gt;=4")&amp;" SV"&amp;" ("&amp;ROUND(COUNTIF(N11:N80,"&gt;=4")*100/MAX($A$11:$A$80),2)&amp;"%" &amp;")")</f>
        <v/>
      </c>
      <c r="L83" s="645"/>
      <c r="M83" s="645"/>
      <c r="N83" s="645"/>
      <c r="O83" s="13"/>
    </row>
    <row r="84" spans="1:16" s="10" customFormat="1">
      <c r="A84" s="3"/>
      <c r="B84" s="658" t="str">
        <f>"Tổng số SV có điểm Khá từ 7 đ đến &lt;8,5 đ"</f>
        <v>Tổng số SV có điểm Khá từ 7 đ đến &lt;8,5 đ</v>
      </c>
      <c r="C84" s="658"/>
      <c r="D84" s="658"/>
      <c r="E84" s="658"/>
      <c r="F84" s="126" t="str">
        <f>": "&amp;COUNTIF($O$11:$O$80,"Khá")&amp;" SV"</f>
        <v>: 0 SV</v>
      </c>
      <c r="H84" s="662" t="str">
        <f>IF(B11="","","("&amp;ROUND(COUNTIF($O$11:$O$80,"Khá")*100/MAX($A$11:$A$80),2)&amp;"%" &amp;")")</f>
        <v/>
      </c>
      <c r="I84" s="662"/>
      <c r="J84" s="662"/>
      <c r="K84" s="645"/>
      <c r="L84" s="645"/>
      <c r="M84" s="645"/>
      <c r="N84" s="645"/>
      <c r="O84" s="13"/>
    </row>
    <row r="85" spans="1:16" s="10" customFormat="1">
      <c r="A85" s="3"/>
      <c r="B85" s="658" t="str">
        <f>"Tổng số SV có điểm Trung bình từ 5,5 đ đến &lt;7 đ"</f>
        <v>Tổng số SV có điểm Trung bình từ 5,5 đ đến &lt;7 đ</v>
      </c>
      <c r="C85" s="658"/>
      <c r="D85" s="658"/>
      <c r="E85" s="658"/>
      <c r="F85" s="126" t="str">
        <f>": "&amp;COUNTIF($O$11:$O$80,"T.Bình")&amp;" SV"</f>
        <v>: 0 SV</v>
      </c>
      <c r="H85" s="662" t="str">
        <f>IF(B11="","","("&amp;ROUND(COUNTIF($O$11:$O$80,"TB")*100/MAX($A$11:$A$80),2)&amp;"%" &amp;")")</f>
        <v/>
      </c>
      <c r="I85" s="662"/>
      <c r="J85" s="662"/>
      <c r="K85" s="645"/>
      <c r="L85" s="645"/>
      <c r="M85" s="645"/>
      <c r="N85" s="645"/>
      <c r="O85" s="13"/>
    </row>
    <row r="86" spans="1:16" s="10" customFormat="1" ht="12.75" customHeight="1">
      <c r="A86" s="3"/>
      <c r="B86" s="658" t="str">
        <f>"Tổng số SV có điểm Trung bình yếu từ 4 đ đến &lt;5,5 đ"</f>
        <v>Tổng số SV có điểm Trung bình yếu từ 4 đ đến &lt;5,5 đ</v>
      </c>
      <c r="C86" s="658"/>
      <c r="D86" s="658"/>
      <c r="E86" s="658"/>
      <c r="F86" s="126" t="str">
        <f>": "&amp;COUNTIF($O$11:$O$80,"TB Yếu")&amp;" SV"</f>
        <v>: 0 SV</v>
      </c>
      <c r="H86" s="662" t="str">
        <f>IF(B11="","","("&amp;ROUND(COUNTIF($O$11:$O$80,"TBY")*100/MAX($A$11:$A$80),2)&amp;"%" &amp;")")</f>
        <v/>
      </c>
      <c r="I86" s="662"/>
      <c r="J86" s="662"/>
      <c r="K86" s="644" t="str">
        <f>IF(B11="","","Tổng số SV có điểm &lt; 4 đ : "&amp;COUNTIF(N11:N80,"&lt;4")&amp;" SV"&amp;" ("&amp;ROUND(COUNTIF(N11:N80,"&lt;4")*100/MAX($A$11:$A$80),2)&amp;"%" &amp;")")</f>
        <v/>
      </c>
      <c r="L86" s="644"/>
      <c r="M86" s="644"/>
      <c r="N86" s="644"/>
      <c r="O86" s="28"/>
    </row>
    <row r="87" spans="1:16" s="10" customFormat="1">
      <c r="A87" s="3"/>
      <c r="B87" s="658" t="str">
        <f>"Tổng số SV có điểm kém &lt;4 đ"</f>
        <v>Tổng số SV có điểm kém &lt;4 đ</v>
      </c>
      <c r="C87" s="658"/>
      <c r="D87" s="658"/>
      <c r="E87" s="658"/>
      <c r="F87" s="126" t="str">
        <f>": "&amp;COUNTIF($O$11:$O$80,"Kém")&amp;" SV"</f>
        <v>: 0 SV</v>
      </c>
      <c r="H87" s="662" t="str">
        <f>IF(B11="","","("&amp;ROUND(COUNTIF($O$11:$O$80,"Kém")*100/MAX($A$11:$A$80),2)&amp;"%"&amp;")")</f>
        <v/>
      </c>
      <c r="I87" s="662"/>
      <c r="J87" s="662"/>
      <c r="K87" s="644"/>
      <c r="L87" s="644"/>
      <c r="M87" s="644"/>
      <c r="N87" s="644"/>
      <c r="O87" s="28"/>
    </row>
    <row r="88" spans="1:16" s="10" customFormat="1" ht="12.75" customHeight="1">
      <c r="A88" s="3"/>
      <c r="B88" s="658" t="str">
        <f>"Tổng số SV không xếp loại vì chưa đủ điều kiện"</f>
        <v>Tổng số SV không xếp loại vì chưa đủ điều kiện</v>
      </c>
      <c r="C88" s="658"/>
      <c r="D88" s="658"/>
      <c r="E88" s="658"/>
      <c r="F88" s="126" t="str">
        <f>": "&amp;COUNTIF($O$11:$O$80,"KXL")&amp;" SV"</f>
        <v>: 0 SV</v>
      </c>
      <c r="H88" s="662" t="str">
        <f>IF(B11="","","("&amp;ROUND(COUNTIF($O$11:$O$80,"KXL")*100/MAX($A$11:$A$80),2)&amp;"%"&amp;")")</f>
        <v/>
      </c>
      <c r="I88" s="662"/>
      <c r="J88" s="662"/>
      <c r="K88" s="644"/>
      <c r="L88" s="644"/>
      <c r="M88" s="644"/>
      <c r="N88" s="644"/>
      <c r="O88" s="28"/>
    </row>
    <row r="89" spans="1:16" ht="15.75">
      <c r="B89" s="14"/>
      <c r="C89" s="14"/>
      <c r="D89" s="14"/>
      <c r="E89" s="14"/>
      <c r="F89" s="14"/>
      <c r="G89" s="14"/>
      <c r="H89" s="14"/>
      <c r="I89" s="14"/>
      <c r="J89" s="14"/>
      <c r="K89" s="14"/>
      <c r="L89" s="14"/>
      <c r="M89" s="14"/>
      <c r="N89" s="14"/>
    </row>
    <row r="90" spans="1:16" ht="15.75" customHeight="1">
      <c r="A90" s="659" t="s">
        <v>190</v>
      </c>
      <c r="B90" s="659"/>
      <c r="C90" s="659"/>
      <c r="E90" s="43" t="s">
        <v>1460</v>
      </c>
      <c r="F90" s="43"/>
      <c r="G90" s="43"/>
      <c r="H90" s="21"/>
      <c r="I90" s="21"/>
      <c r="J90" s="185" t="s">
        <v>257</v>
      </c>
      <c r="K90" s="43"/>
      <c r="L90" s="43"/>
      <c r="M90" s="43"/>
      <c r="N90" s="43"/>
      <c r="O90" s="43"/>
    </row>
  </sheetData>
  <sheetProtection sheet="1" formatCells="0" formatColumns="0" formatRows="0" autoFilter="0"/>
  <dataConsolidate/>
  <mergeCells count="47">
    <mergeCell ref="K86:N88"/>
    <mergeCell ref="H83:J83"/>
    <mergeCell ref="H84:J84"/>
    <mergeCell ref="H85:J85"/>
    <mergeCell ref="J7:L7"/>
    <mergeCell ref="H7:I7"/>
    <mergeCell ref="K83:N85"/>
    <mergeCell ref="M8:M9"/>
    <mergeCell ref="H86:J86"/>
    <mergeCell ref="H87:J87"/>
    <mergeCell ref="H88:J88"/>
    <mergeCell ref="A81:M81"/>
    <mergeCell ref="B82:E82"/>
    <mergeCell ref="B85:E85"/>
    <mergeCell ref="B83:E83"/>
    <mergeCell ref="B84:E84"/>
    <mergeCell ref="A4:N4"/>
    <mergeCell ref="D7:E7"/>
    <mergeCell ref="A1:F1"/>
    <mergeCell ref="A3:F3"/>
    <mergeCell ref="A5:L5"/>
    <mergeCell ref="G6:H6"/>
    <mergeCell ref="C6:F6"/>
    <mergeCell ref="L6:M6"/>
    <mergeCell ref="H1:N1"/>
    <mergeCell ref="A2:F2"/>
    <mergeCell ref="H2:N2"/>
    <mergeCell ref="Q8:Q10"/>
    <mergeCell ref="F10:K10"/>
    <mergeCell ref="H8:H9"/>
    <mergeCell ref="I8:I9"/>
    <mergeCell ref="J8:J9"/>
    <mergeCell ref="N8:N10"/>
    <mergeCell ref="O8:O10"/>
    <mergeCell ref="P8:P9"/>
    <mergeCell ref="K8:K9"/>
    <mergeCell ref="L8:L9"/>
    <mergeCell ref="B87:E87"/>
    <mergeCell ref="B88:E88"/>
    <mergeCell ref="A90:C90"/>
    <mergeCell ref="G8:G9"/>
    <mergeCell ref="A8:A10"/>
    <mergeCell ref="B8:B10"/>
    <mergeCell ref="C8:D10"/>
    <mergeCell ref="E8:E10"/>
    <mergeCell ref="F8:F9"/>
    <mergeCell ref="B86:E86"/>
  </mergeCells>
  <phoneticPr fontId="11" type="noConversion"/>
  <conditionalFormatting sqref="N11:N80">
    <cfRule type="cellIs" dxfId="4" priority="1" stopIfTrue="1" operator="lessThan">
      <formula>4</formula>
    </cfRule>
  </conditionalFormatting>
  <dataValidations count="2">
    <dataValidation type="decimal" allowBlank="1" showInputMessage="1" showErrorMessage="1" errorTitle="Nhap sai" error="Hãy nhập lại_x000a_0 ≤ Điểm ≤ 10" sqref="M11:M80">
      <formula1>0</formula1>
      <formula2>10</formula2>
    </dataValidation>
    <dataValidation type="whole" allowBlank="1" showInputMessage="1" showErrorMessage="1" errorTitle="Nhap sai" error="Hãy nhập lại_x000a_0 ≤ Điểm ≤ 10" sqref="F11:L80">
      <formula1>0</formula1>
      <formula2>10</formula2>
    </dataValidation>
  </dataValidations>
  <printOptions horizontalCentered="1"/>
  <pageMargins left="0.5" right="0" top="0.25" bottom="0.25" header="0.25" footer="0.25"/>
  <pageSetup paperSize="9" scale="90" orientation="portrait" horizontalDpi="1200" verticalDpi="1200"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1"/>
  <sheetViews>
    <sheetView workbookViewId="0">
      <selection activeCell="L11" sqref="L11:M11"/>
    </sheetView>
  </sheetViews>
  <sheetFormatPr defaultRowHeight="15.75"/>
  <cols>
    <col min="1" max="1" width="4.28515625" style="120" customWidth="1"/>
    <col min="2" max="2" width="13.7109375" style="120" customWidth="1"/>
    <col min="3" max="3" width="22.7109375" style="120" customWidth="1"/>
    <col min="4" max="4" width="8.7109375" style="120" customWidth="1"/>
    <col min="5" max="9" width="6.85546875" style="120" customWidth="1"/>
    <col min="10" max="10" width="5.7109375" style="120" customWidth="1"/>
    <col min="11" max="11" width="5.42578125" style="120" customWidth="1"/>
    <col min="12" max="12" width="6" style="120" bestFit="1" customWidth="1"/>
    <col min="13" max="13" width="8.28515625" style="120" hidden="1" customWidth="1"/>
    <col min="14" max="14" width="4.5703125" style="120" customWidth="1"/>
    <col min="15" max="15" width="6" style="122" bestFit="1" customWidth="1"/>
    <col min="16" max="16384" width="9.140625" style="118"/>
  </cols>
  <sheetData>
    <row r="1" spans="1:15" s="136" customFormat="1">
      <c r="A1" s="633" t="s">
        <v>2695</v>
      </c>
      <c r="B1" s="633"/>
      <c r="C1" s="633"/>
      <c r="D1" s="633"/>
      <c r="E1" s="633"/>
      <c r="F1" s="633"/>
      <c r="G1" s="632" t="s">
        <v>249</v>
      </c>
      <c r="H1" s="632"/>
      <c r="I1" s="632"/>
      <c r="J1" s="632"/>
      <c r="K1" s="632"/>
      <c r="L1" s="632"/>
      <c r="M1" s="632"/>
      <c r="N1" s="632"/>
      <c r="O1" s="632"/>
    </row>
    <row r="2" spans="1:15" s="136" customFormat="1" ht="29.25" customHeight="1">
      <c r="A2" s="631" t="s">
        <v>2687</v>
      </c>
      <c r="B2" s="632"/>
      <c r="C2" s="632"/>
      <c r="D2" s="632"/>
      <c r="E2" s="632"/>
      <c r="F2" s="632"/>
      <c r="G2" s="638" t="s">
        <v>250</v>
      </c>
      <c r="H2" s="638"/>
      <c r="I2" s="638"/>
      <c r="J2" s="638"/>
      <c r="K2" s="638"/>
      <c r="L2" s="638"/>
      <c r="M2" s="638"/>
      <c r="N2" s="638"/>
      <c r="O2" s="638"/>
    </row>
    <row r="3" spans="1:15" s="136" customFormat="1" ht="19.5" customHeight="1">
      <c r="A3" s="633"/>
      <c r="B3" s="633"/>
      <c r="C3" s="633"/>
      <c r="D3" s="633"/>
      <c r="E3" s="633"/>
      <c r="F3" s="633"/>
      <c r="I3" s="195"/>
      <c r="J3" s="147"/>
      <c r="K3" s="147"/>
      <c r="L3" s="147"/>
      <c r="M3" s="147"/>
      <c r="N3" s="147"/>
      <c r="O3" s="147"/>
    </row>
    <row r="4" spans="1:15" s="188" customFormat="1" ht="21" customHeight="1">
      <c r="A4" s="672" t="s">
        <v>1454</v>
      </c>
      <c r="B4" s="672"/>
      <c r="C4" s="672"/>
      <c r="D4" s="672"/>
      <c r="E4" s="672"/>
      <c r="F4" s="672"/>
      <c r="G4" s="672"/>
      <c r="H4" s="672"/>
      <c r="I4" s="672"/>
      <c r="J4" s="672"/>
      <c r="K4" s="672"/>
      <c r="L4" s="672"/>
      <c r="M4" s="672"/>
      <c r="N4" s="672"/>
      <c r="O4" s="672"/>
    </row>
    <row r="5" spans="1:15" s="188" customFormat="1" ht="9" customHeight="1">
      <c r="A5" s="187"/>
      <c r="B5" s="187"/>
      <c r="C5" s="187"/>
      <c r="D5" s="187"/>
      <c r="E5" s="187"/>
      <c r="F5" s="187"/>
      <c r="G5" s="187"/>
      <c r="H5" s="187"/>
      <c r="I5" s="187"/>
      <c r="J5" s="187"/>
      <c r="K5" s="187"/>
      <c r="L5" s="187"/>
      <c r="M5" s="187"/>
      <c r="N5" s="187"/>
      <c r="O5" s="187"/>
    </row>
    <row r="6" spans="1:15" s="188" customFormat="1" ht="18" customHeight="1">
      <c r="A6" s="667" t="s">
        <v>252</v>
      </c>
      <c r="B6" s="667"/>
      <c r="C6" s="637" t="str">
        <f>IF($L$6="","",IF(VLOOKUP($L$6,'LOP-MON'!$B$2:$N$43,9,FALSE)=0,"",VLOOKUP($L$6,'LOP-MON'!$B$2:$N$43,9,FALSE)))</f>
        <v/>
      </c>
      <c r="D6" s="637"/>
      <c r="E6" s="637"/>
      <c r="F6" s="637"/>
      <c r="G6" s="637"/>
      <c r="H6" s="673" t="s">
        <v>1455</v>
      </c>
      <c r="I6" s="673"/>
      <c r="J6" s="196" t="str">
        <f>IF($L$6="","",IF(VLOOKUP(CONCATENATE("TC",MID(L6,1,4),MID(L6,6,3)),'LOP-MON'!$B$2:$N$43,9,FALSE)=0,"",VLOOKUP(CONCATENATE("TC",MID(L6,1,4),MID(L6,6,3)),'LOP-MON'!$B$2:$N$43,9,FALSE)))</f>
        <v/>
      </c>
      <c r="K6" s="119" t="s">
        <v>1456</v>
      </c>
      <c r="L6" s="637" t="str">
        <f>HKI!$D$3</f>
        <v>13CĐ-Đ1</v>
      </c>
      <c r="M6" s="637"/>
      <c r="N6" s="637"/>
      <c r="O6" s="637"/>
    </row>
    <row r="7" spans="1:15" s="188" customFormat="1" ht="18" customHeight="1">
      <c r="A7" s="189"/>
      <c r="B7" s="190"/>
      <c r="C7" s="191" t="s">
        <v>1457</v>
      </c>
      <c r="D7" s="172" t="s">
        <v>2693</v>
      </c>
      <c r="E7" s="190"/>
      <c r="F7" s="668" t="s">
        <v>2696</v>
      </c>
      <c r="G7" s="668"/>
      <c r="H7" s="668"/>
      <c r="I7" s="668"/>
      <c r="J7" s="668"/>
      <c r="K7" s="668"/>
      <c r="L7" s="190"/>
      <c r="M7" s="119"/>
      <c r="N7" s="189"/>
      <c r="O7" s="192"/>
    </row>
    <row r="8" spans="1:15" s="188" customFormat="1" ht="13.5" customHeight="1">
      <c r="A8" s="669" t="s">
        <v>255</v>
      </c>
      <c r="B8" s="669" t="s">
        <v>188</v>
      </c>
      <c r="C8" s="669" t="s">
        <v>189</v>
      </c>
      <c r="D8" s="669"/>
      <c r="E8" s="669" t="s">
        <v>1458</v>
      </c>
      <c r="F8" s="669"/>
      <c r="G8" s="669"/>
      <c r="H8" s="669"/>
      <c r="I8" s="669"/>
      <c r="J8" s="669"/>
      <c r="K8" s="669"/>
      <c r="L8" s="669" t="s">
        <v>260</v>
      </c>
      <c r="M8" s="666" t="s">
        <v>2548</v>
      </c>
      <c r="N8" s="669" t="s">
        <v>248</v>
      </c>
      <c r="O8" s="669"/>
    </row>
    <row r="9" spans="1:15" s="188" customFormat="1" ht="13.5" customHeight="1">
      <c r="A9" s="669"/>
      <c r="B9" s="669"/>
      <c r="C9" s="669"/>
      <c r="D9" s="669"/>
      <c r="E9" s="669"/>
      <c r="F9" s="669"/>
      <c r="G9" s="669"/>
      <c r="H9" s="669"/>
      <c r="I9" s="669"/>
      <c r="J9" s="669"/>
      <c r="K9" s="669"/>
      <c r="L9" s="669"/>
      <c r="M9" s="666"/>
      <c r="N9" s="669"/>
      <c r="O9" s="669"/>
    </row>
    <row r="10" spans="1:15" s="188" customFormat="1" ht="13.5" customHeight="1">
      <c r="A10" s="669"/>
      <c r="B10" s="669"/>
      <c r="C10" s="669"/>
      <c r="D10" s="669"/>
      <c r="E10" s="669"/>
      <c r="F10" s="669"/>
      <c r="G10" s="669"/>
      <c r="H10" s="669"/>
      <c r="I10" s="669"/>
      <c r="J10" s="669"/>
      <c r="K10" s="669"/>
      <c r="L10" s="669"/>
      <c r="M10" s="666"/>
      <c r="N10" s="669"/>
      <c r="O10" s="669"/>
    </row>
    <row r="11" spans="1:15" s="188" customFormat="1" ht="18" customHeight="1">
      <c r="A11" s="123" t="str">
        <f>IF(OR($C$6="",$J$6="",$L$6=""),"",IF($B11="","",SUBTOTAL(3,$B$11:B11)))</f>
        <v/>
      </c>
      <c r="B11" s="123" t="str">
        <f>IF(OR($C$6="",$J$6="",$L$6=""),"",IF(HKI!$B11="","",HKI!$B11))</f>
        <v/>
      </c>
      <c r="C11" s="124" t="str">
        <f>IF(OR($C$6="",$J$6="",$L$6=""),"",IF(HKI!$C11="","",HKI!$C11))</f>
        <v/>
      </c>
      <c r="D11" s="125" t="str">
        <f>IF(OR($C$6="",$J$6="",$L$6=""),"",IF(HKI!$D11="","",HKI!$D11))</f>
        <v/>
      </c>
      <c r="E11" s="665"/>
      <c r="F11" s="665"/>
      <c r="G11" s="665"/>
      <c r="H11" s="665"/>
      <c r="I11" s="665"/>
      <c r="J11" s="665"/>
      <c r="K11" s="665"/>
      <c r="L11" s="664"/>
      <c r="M11" s="664"/>
      <c r="N11" s="664"/>
      <c r="O11" s="664"/>
    </row>
    <row r="12" spans="1:15" s="188" customFormat="1" ht="18" customHeight="1">
      <c r="A12" s="123" t="str">
        <f>IF(OR($C$6="",$J$6="",$L$6=""),"",IF($B12="","",SUBTOTAL(3,$B$11:B12)))</f>
        <v/>
      </c>
      <c r="B12" s="123" t="str">
        <f>IF(OR($C$6="",$J$6="",$L$6=""),"",IF(HKI!$B12="","",HKI!$B12))</f>
        <v/>
      </c>
      <c r="C12" s="124" t="str">
        <f>IF(OR($C$6="",$J$6="",$L$6=""),"",IF(HKI!$C12="","",HKI!$C12))</f>
        <v/>
      </c>
      <c r="D12" s="125" t="str">
        <f>IF(OR($C$6="",$J$6="",$L$6=""),"",IF(HKI!$D12="","",HKI!$D12))</f>
        <v/>
      </c>
      <c r="E12" s="665"/>
      <c r="F12" s="665"/>
      <c r="G12" s="665"/>
      <c r="H12" s="665"/>
      <c r="I12" s="665"/>
      <c r="J12" s="665"/>
      <c r="K12" s="665"/>
      <c r="L12" s="664"/>
      <c r="M12" s="664"/>
      <c r="N12" s="664"/>
      <c r="O12" s="664"/>
    </row>
    <row r="13" spans="1:15" s="188" customFormat="1" ht="18" customHeight="1">
      <c r="A13" s="123" t="str">
        <f>IF(OR($C$6="",$J$6="",$L$6=""),"",IF($B13="","",SUBTOTAL(3,$B$11:B13)))</f>
        <v/>
      </c>
      <c r="B13" s="123" t="str">
        <f>IF(OR($C$6="",$J$6="",$L$6=""),"",IF(HKI!$B13="","",HKI!$B13))</f>
        <v/>
      </c>
      <c r="C13" s="124" t="str">
        <f>IF(OR($C$6="",$J$6="",$L$6=""),"",IF(HKI!$C13="","",HKI!$C13))</f>
        <v/>
      </c>
      <c r="D13" s="125" t="str">
        <f>IF(OR($C$6="",$J$6="",$L$6=""),"",IF(HKI!$D13="","",HKI!$D13))</f>
        <v/>
      </c>
      <c r="E13" s="665"/>
      <c r="F13" s="665"/>
      <c r="G13" s="665"/>
      <c r="H13" s="665"/>
      <c r="I13" s="665"/>
      <c r="J13" s="665"/>
      <c r="K13" s="665"/>
      <c r="L13" s="664"/>
      <c r="M13" s="664"/>
      <c r="N13" s="664"/>
      <c r="O13" s="664"/>
    </row>
    <row r="14" spans="1:15" s="188" customFormat="1" ht="18" customHeight="1">
      <c r="A14" s="123" t="str">
        <f>IF(OR($C$6="",$J$6="",$L$6=""),"",IF($B14="","",SUBTOTAL(3,$B$11:B14)))</f>
        <v/>
      </c>
      <c r="B14" s="123" t="str">
        <f>IF(OR($C$6="",$J$6="",$L$6=""),"",IF(HKI!$B14="","",HKI!$B14))</f>
        <v/>
      </c>
      <c r="C14" s="124" t="str">
        <f>IF(OR($C$6="",$J$6="",$L$6=""),"",IF(HKI!$C14="","",HKI!$C14))</f>
        <v/>
      </c>
      <c r="D14" s="125" t="str">
        <f>IF(OR($C$6="",$J$6="",$L$6=""),"",IF(HKI!$D14="","",HKI!$D14))</f>
        <v/>
      </c>
      <c r="E14" s="665"/>
      <c r="F14" s="665"/>
      <c r="G14" s="665"/>
      <c r="H14" s="665"/>
      <c r="I14" s="665"/>
      <c r="J14" s="665"/>
      <c r="K14" s="665"/>
      <c r="L14" s="664"/>
      <c r="M14" s="664"/>
      <c r="N14" s="664"/>
      <c r="O14" s="664"/>
    </row>
    <row r="15" spans="1:15" s="188" customFormat="1" ht="18" customHeight="1">
      <c r="A15" s="123" t="str">
        <f>IF(OR($C$6="",$J$6="",$L$6=""),"",IF($B15="","",SUBTOTAL(3,$B$11:B15)))</f>
        <v/>
      </c>
      <c r="B15" s="123" t="str">
        <f>IF(OR($C$6="",$J$6="",$L$6=""),"",IF(HKI!$B15="","",HKI!$B15))</f>
        <v/>
      </c>
      <c r="C15" s="124" t="str">
        <f>IF(OR($C$6="",$J$6="",$L$6=""),"",IF(HKI!$C15="","",HKI!$C15))</f>
        <v/>
      </c>
      <c r="D15" s="125" t="str">
        <f>IF(OR($C$6="",$J$6="",$L$6=""),"",IF(HKI!$D15="","",HKI!$D15))</f>
        <v/>
      </c>
      <c r="E15" s="665"/>
      <c r="F15" s="665"/>
      <c r="G15" s="665"/>
      <c r="H15" s="665"/>
      <c r="I15" s="665"/>
      <c r="J15" s="665"/>
      <c r="K15" s="665"/>
      <c r="L15" s="664"/>
      <c r="M15" s="664"/>
      <c r="N15" s="664"/>
      <c r="O15" s="664"/>
    </row>
    <row r="16" spans="1:15" s="188" customFormat="1" ht="18" customHeight="1">
      <c r="A16" s="123" t="str">
        <f>IF(OR($C$6="",$J$6="",$L$6=""),"",IF($B16="","",SUBTOTAL(3,$B$11:B16)))</f>
        <v/>
      </c>
      <c r="B16" s="123" t="str">
        <f>IF(OR($C$6="",$J$6="",$L$6=""),"",IF(HKI!$B16="","",HKI!$B16))</f>
        <v/>
      </c>
      <c r="C16" s="124" t="str">
        <f>IF(OR($C$6="",$J$6="",$L$6=""),"",IF(HKI!$C16="","",HKI!$C16))</f>
        <v/>
      </c>
      <c r="D16" s="125" t="str">
        <f>IF(OR($C$6="",$J$6="",$L$6=""),"",IF(HKI!$D16="","",HKI!$D16))</f>
        <v/>
      </c>
      <c r="E16" s="665"/>
      <c r="F16" s="665"/>
      <c r="G16" s="665"/>
      <c r="H16" s="665"/>
      <c r="I16" s="665"/>
      <c r="J16" s="665"/>
      <c r="K16" s="665"/>
      <c r="L16" s="664"/>
      <c r="M16" s="664"/>
      <c r="N16" s="664"/>
      <c r="O16" s="664"/>
    </row>
    <row r="17" spans="1:15" s="188" customFormat="1" ht="18" customHeight="1">
      <c r="A17" s="123" t="str">
        <f>IF(OR($C$6="",$J$6="",$L$6=""),"",IF($B17="","",SUBTOTAL(3,$B$11:B17)))</f>
        <v/>
      </c>
      <c r="B17" s="123" t="str">
        <f>IF(OR($C$6="",$J$6="",$L$6=""),"",IF(HKI!$B17="","",HKI!$B17))</f>
        <v/>
      </c>
      <c r="C17" s="124" t="str">
        <f>IF(OR($C$6="",$J$6="",$L$6=""),"",IF(HKI!$C17="","",HKI!$C17))</f>
        <v/>
      </c>
      <c r="D17" s="125" t="str">
        <f>IF(OR($C$6="",$J$6="",$L$6=""),"",IF(HKI!$D17="","",HKI!$D17))</f>
        <v/>
      </c>
      <c r="E17" s="665"/>
      <c r="F17" s="665"/>
      <c r="G17" s="665"/>
      <c r="H17" s="665"/>
      <c r="I17" s="665"/>
      <c r="J17" s="665"/>
      <c r="K17" s="665"/>
      <c r="L17" s="664"/>
      <c r="M17" s="664"/>
      <c r="N17" s="664"/>
      <c r="O17" s="664"/>
    </row>
    <row r="18" spans="1:15" s="188" customFormat="1" ht="18" customHeight="1">
      <c r="A18" s="123" t="str">
        <f>IF(OR($C$6="",$J$6="",$L$6=""),"",IF($B18="","",SUBTOTAL(3,$B$11:B18)))</f>
        <v/>
      </c>
      <c r="B18" s="123" t="str">
        <f>IF(OR($C$6="",$J$6="",$L$6=""),"",IF(HKI!$B18="","",HKI!$B18))</f>
        <v/>
      </c>
      <c r="C18" s="124" t="str">
        <f>IF(OR($C$6="",$J$6="",$L$6=""),"",IF(HKI!$C18="","",HKI!$C18))</f>
        <v/>
      </c>
      <c r="D18" s="125" t="str">
        <f>IF(OR($C$6="",$J$6="",$L$6=""),"",IF(HKI!$D18="","",HKI!$D18))</f>
        <v/>
      </c>
      <c r="E18" s="665"/>
      <c r="F18" s="665"/>
      <c r="G18" s="665"/>
      <c r="H18" s="665"/>
      <c r="I18" s="665"/>
      <c r="J18" s="665"/>
      <c r="K18" s="665"/>
      <c r="L18" s="664"/>
      <c r="M18" s="664"/>
      <c r="N18" s="664"/>
      <c r="O18" s="664"/>
    </row>
    <row r="19" spans="1:15" s="188" customFormat="1" ht="18" customHeight="1">
      <c r="A19" s="123" t="str">
        <f>IF(OR($C$6="",$J$6="",$L$6=""),"",IF($B19="","",SUBTOTAL(3,$B$11:B19)))</f>
        <v/>
      </c>
      <c r="B19" s="123" t="str">
        <f>IF(OR($C$6="",$J$6="",$L$6=""),"",IF(HKI!$B19="","",HKI!$B19))</f>
        <v/>
      </c>
      <c r="C19" s="124" t="str">
        <f>IF(OR($C$6="",$J$6="",$L$6=""),"",IF(HKI!$C19="","",HKI!$C19))</f>
        <v/>
      </c>
      <c r="D19" s="125" t="str">
        <f>IF(OR($C$6="",$J$6="",$L$6=""),"",IF(HKI!$D19="","",HKI!$D19))</f>
        <v/>
      </c>
      <c r="E19" s="665"/>
      <c r="F19" s="665"/>
      <c r="G19" s="665"/>
      <c r="H19" s="665"/>
      <c r="I19" s="665"/>
      <c r="J19" s="665"/>
      <c r="K19" s="665"/>
      <c r="L19" s="664"/>
      <c r="M19" s="664"/>
      <c r="N19" s="664"/>
      <c r="O19" s="664"/>
    </row>
    <row r="20" spans="1:15" s="188" customFormat="1" ht="18" customHeight="1">
      <c r="A20" s="123" t="str">
        <f>IF(OR($C$6="",$J$6="",$L$6=""),"",IF($B20="","",SUBTOTAL(3,$B$11:B20)))</f>
        <v/>
      </c>
      <c r="B20" s="123" t="str">
        <f>IF(OR($C$6="",$J$6="",$L$6=""),"",IF(HKI!$B20="","",HKI!$B20))</f>
        <v/>
      </c>
      <c r="C20" s="124" t="str">
        <f>IF(OR($C$6="",$J$6="",$L$6=""),"",IF(HKI!$C20="","",HKI!$C20))</f>
        <v/>
      </c>
      <c r="D20" s="125" t="str">
        <f>IF(OR($C$6="",$J$6="",$L$6=""),"",IF(HKI!$D20="","",HKI!$D20))</f>
        <v/>
      </c>
      <c r="E20" s="665"/>
      <c r="F20" s="665"/>
      <c r="G20" s="665"/>
      <c r="H20" s="665"/>
      <c r="I20" s="665"/>
      <c r="J20" s="665"/>
      <c r="K20" s="665"/>
      <c r="L20" s="664"/>
      <c r="M20" s="664"/>
      <c r="N20" s="664"/>
      <c r="O20" s="664"/>
    </row>
    <row r="21" spans="1:15" s="188" customFormat="1" ht="18" customHeight="1">
      <c r="A21" s="123" t="str">
        <f>IF(OR($C$6="",$J$6="",$L$6=""),"",IF($B21="","",SUBTOTAL(3,$B$11:B21)))</f>
        <v/>
      </c>
      <c r="B21" s="123" t="str">
        <f>IF(OR($C$6="",$J$6="",$L$6=""),"",IF(HKI!$B21="","",HKI!$B21))</f>
        <v/>
      </c>
      <c r="C21" s="124" t="str">
        <f>IF(OR($C$6="",$J$6="",$L$6=""),"",IF(HKI!$C21="","",HKI!$C21))</f>
        <v/>
      </c>
      <c r="D21" s="125" t="str">
        <f>IF(OR($C$6="",$J$6="",$L$6=""),"",IF(HKI!$D21="","",HKI!$D21))</f>
        <v/>
      </c>
      <c r="E21" s="665"/>
      <c r="F21" s="665"/>
      <c r="G21" s="665"/>
      <c r="H21" s="665"/>
      <c r="I21" s="665"/>
      <c r="J21" s="665"/>
      <c r="K21" s="665"/>
      <c r="L21" s="664"/>
      <c r="M21" s="664"/>
      <c r="N21" s="664"/>
      <c r="O21" s="664"/>
    </row>
    <row r="22" spans="1:15" s="188" customFormat="1" ht="18" customHeight="1">
      <c r="A22" s="123" t="str">
        <f>IF(OR($C$6="",$J$6="",$L$6=""),"",IF($B22="","",SUBTOTAL(3,$B$11:B22)))</f>
        <v/>
      </c>
      <c r="B22" s="123" t="str">
        <f>IF(OR($C$6="",$J$6="",$L$6=""),"",IF(HKI!$B22="","",HKI!$B22))</f>
        <v/>
      </c>
      <c r="C22" s="124" t="str">
        <f>IF(OR($C$6="",$J$6="",$L$6=""),"",IF(HKI!$C22="","",HKI!$C22))</f>
        <v/>
      </c>
      <c r="D22" s="125" t="str">
        <f>IF(OR($C$6="",$J$6="",$L$6=""),"",IF(HKI!$D22="","",HKI!$D22))</f>
        <v/>
      </c>
      <c r="E22" s="665"/>
      <c r="F22" s="665"/>
      <c r="G22" s="665"/>
      <c r="H22" s="665"/>
      <c r="I22" s="665"/>
      <c r="J22" s="665"/>
      <c r="K22" s="665"/>
      <c r="L22" s="664"/>
      <c r="M22" s="664"/>
      <c r="N22" s="664"/>
      <c r="O22" s="664"/>
    </row>
    <row r="23" spans="1:15" s="188" customFormat="1" ht="18" customHeight="1">
      <c r="A23" s="123" t="str">
        <f>IF(OR($C$6="",$J$6="",$L$6=""),"",IF($B23="","",SUBTOTAL(3,$B$11:B23)))</f>
        <v/>
      </c>
      <c r="B23" s="123" t="str">
        <f>IF(OR($C$6="",$J$6="",$L$6=""),"",IF(HKI!$B23="","",HKI!$B23))</f>
        <v/>
      </c>
      <c r="C23" s="124" t="str">
        <f>IF(OR($C$6="",$J$6="",$L$6=""),"",IF(HKI!$C23="","",HKI!$C23))</f>
        <v/>
      </c>
      <c r="D23" s="125" t="str">
        <f>IF(OR($C$6="",$J$6="",$L$6=""),"",IF(HKI!$D23="","",HKI!$D23))</f>
        <v/>
      </c>
      <c r="E23" s="665"/>
      <c r="F23" s="665"/>
      <c r="G23" s="665"/>
      <c r="H23" s="665"/>
      <c r="I23" s="665"/>
      <c r="J23" s="665"/>
      <c r="K23" s="665"/>
      <c r="L23" s="664"/>
      <c r="M23" s="664"/>
      <c r="N23" s="664"/>
      <c r="O23" s="664"/>
    </row>
    <row r="24" spans="1:15" s="188" customFormat="1" ht="18" customHeight="1">
      <c r="A24" s="123" t="str">
        <f>IF(OR($C$6="",$J$6="",$L$6=""),"",IF($B24="","",SUBTOTAL(3,$B$11:B24)))</f>
        <v/>
      </c>
      <c r="B24" s="123" t="str">
        <f>IF(OR($C$6="",$J$6="",$L$6=""),"",IF(HKI!$B24="","",HKI!$B24))</f>
        <v/>
      </c>
      <c r="C24" s="124" t="str">
        <f>IF(OR($C$6="",$J$6="",$L$6=""),"",IF(HKI!$C24="","",HKI!$C24))</f>
        <v/>
      </c>
      <c r="D24" s="125" t="str">
        <f>IF(OR($C$6="",$J$6="",$L$6=""),"",IF(HKI!$D24="","",HKI!$D24))</f>
        <v/>
      </c>
      <c r="E24" s="665"/>
      <c r="F24" s="665"/>
      <c r="G24" s="665"/>
      <c r="H24" s="665"/>
      <c r="I24" s="665"/>
      <c r="J24" s="665"/>
      <c r="K24" s="665"/>
      <c r="L24" s="664"/>
      <c r="M24" s="664"/>
      <c r="N24" s="664"/>
      <c r="O24" s="664"/>
    </row>
    <row r="25" spans="1:15" s="188" customFormat="1" ht="18" customHeight="1">
      <c r="A25" s="123" t="str">
        <f>IF(OR($C$6="",$J$6="",$L$6=""),"",IF($B25="","",SUBTOTAL(3,$B$11:B25)))</f>
        <v/>
      </c>
      <c r="B25" s="123" t="str">
        <f>IF(OR($C$6="",$J$6="",$L$6=""),"",IF(HKI!$B25="","",HKI!$B25))</f>
        <v/>
      </c>
      <c r="C25" s="124" t="str">
        <f>IF(OR($C$6="",$J$6="",$L$6=""),"",IF(HKI!$C25="","",HKI!$C25))</f>
        <v/>
      </c>
      <c r="D25" s="125" t="str">
        <f>IF(OR($C$6="",$J$6="",$L$6=""),"",IF(HKI!$D25="","",HKI!$D25))</f>
        <v/>
      </c>
      <c r="E25" s="665"/>
      <c r="F25" s="665"/>
      <c r="G25" s="665"/>
      <c r="H25" s="665"/>
      <c r="I25" s="665"/>
      <c r="J25" s="665"/>
      <c r="K25" s="665"/>
      <c r="L25" s="664"/>
      <c r="M25" s="664"/>
      <c r="N25" s="664"/>
      <c r="O25" s="664"/>
    </row>
    <row r="26" spans="1:15" s="188" customFormat="1" ht="18" customHeight="1">
      <c r="A26" s="123" t="str">
        <f>IF(OR($C$6="",$J$6="",$L$6=""),"",IF($B26="","",SUBTOTAL(3,$B$11:B26)))</f>
        <v/>
      </c>
      <c r="B26" s="123" t="str">
        <f>IF(OR($C$6="",$J$6="",$L$6=""),"",IF(HKI!$B26="","",HKI!$B26))</f>
        <v/>
      </c>
      <c r="C26" s="124" t="str">
        <f>IF(OR($C$6="",$J$6="",$L$6=""),"",IF(HKI!$C26="","",HKI!$C26))</f>
        <v/>
      </c>
      <c r="D26" s="125" t="str">
        <f>IF(OR($C$6="",$J$6="",$L$6=""),"",IF(HKI!$D26="","",HKI!$D26))</f>
        <v/>
      </c>
      <c r="E26" s="665"/>
      <c r="F26" s="665"/>
      <c r="G26" s="665"/>
      <c r="H26" s="665"/>
      <c r="I26" s="665"/>
      <c r="J26" s="665"/>
      <c r="K26" s="665"/>
      <c r="L26" s="664"/>
      <c r="M26" s="664"/>
      <c r="N26" s="664"/>
      <c r="O26" s="664"/>
    </row>
    <row r="27" spans="1:15" s="188" customFormat="1" ht="18" customHeight="1">
      <c r="A27" s="123" t="str">
        <f>IF(OR($C$6="",$J$6="",$L$6=""),"",IF($B27="","",SUBTOTAL(3,$B$11:B27)))</f>
        <v/>
      </c>
      <c r="B27" s="123" t="str">
        <f>IF(OR($C$6="",$J$6="",$L$6=""),"",IF(HKI!$B27="","",HKI!$B27))</f>
        <v/>
      </c>
      <c r="C27" s="124" t="str">
        <f>IF(OR($C$6="",$J$6="",$L$6=""),"",IF(HKI!$C27="","",HKI!$C27))</f>
        <v/>
      </c>
      <c r="D27" s="125" t="str">
        <f>IF(OR($C$6="",$J$6="",$L$6=""),"",IF(HKI!$D27="","",HKI!$D27))</f>
        <v/>
      </c>
      <c r="E27" s="665"/>
      <c r="F27" s="665"/>
      <c r="G27" s="665"/>
      <c r="H27" s="665"/>
      <c r="I27" s="665"/>
      <c r="J27" s="665"/>
      <c r="K27" s="665"/>
      <c r="L27" s="664"/>
      <c r="M27" s="664"/>
      <c r="N27" s="664"/>
      <c r="O27" s="664"/>
    </row>
    <row r="28" spans="1:15" s="188" customFormat="1" ht="18" customHeight="1">
      <c r="A28" s="123" t="str">
        <f>IF(OR($C$6="",$J$6="",$L$6=""),"",IF($B28="","",SUBTOTAL(3,$B$11:B28)))</f>
        <v/>
      </c>
      <c r="B28" s="123" t="str">
        <f>IF(OR($C$6="",$J$6="",$L$6=""),"",IF(HKI!$B28="","",HKI!$B28))</f>
        <v/>
      </c>
      <c r="C28" s="124" t="str">
        <f>IF(OR($C$6="",$J$6="",$L$6=""),"",IF(HKI!$C28="","",HKI!$C28))</f>
        <v/>
      </c>
      <c r="D28" s="125" t="str">
        <f>IF(OR($C$6="",$J$6="",$L$6=""),"",IF(HKI!$D28="","",HKI!$D28))</f>
        <v/>
      </c>
      <c r="E28" s="665"/>
      <c r="F28" s="665"/>
      <c r="G28" s="665"/>
      <c r="H28" s="665"/>
      <c r="I28" s="665"/>
      <c r="J28" s="665"/>
      <c r="K28" s="665"/>
      <c r="L28" s="664"/>
      <c r="M28" s="664"/>
      <c r="N28" s="664"/>
      <c r="O28" s="664"/>
    </row>
    <row r="29" spans="1:15" s="188" customFormat="1" ht="18" customHeight="1">
      <c r="A29" s="123" t="str">
        <f>IF(OR($C$6="",$J$6="",$L$6=""),"",IF($B29="","",SUBTOTAL(3,$B$11:B29)))</f>
        <v/>
      </c>
      <c r="B29" s="123" t="str">
        <f>IF(OR($C$6="",$J$6="",$L$6=""),"",IF(HKI!$B29="","",HKI!$B29))</f>
        <v/>
      </c>
      <c r="C29" s="124" t="str">
        <f>IF(OR($C$6="",$J$6="",$L$6=""),"",IF(HKI!$C29="","",HKI!$C29))</f>
        <v/>
      </c>
      <c r="D29" s="125" t="str">
        <f>IF(OR($C$6="",$J$6="",$L$6=""),"",IF(HKI!$D29="","",HKI!$D29))</f>
        <v/>
      </c>
      <c r="E29" s="665"/>
      <c r="F29" s="665"/>
      <c r="G29" s="665"/>
      <c r="H29" s="665"/>
      <c r="I29" s="665"/>
      <c r="J29" s="665"/>
      <c r="K29" s="665"/>
      <c r="L29" s="664"/>
      <c r="M29" s="664"/>
      <c r="N29" s="664"/>
      <c r="O29" s="664"/>
    </row>
    <row r="30" spans="1:15" s="188" customFormat="1" ht="18" customHeight="1">
      <c r="A30" s="123" t="str">
        <f>IF(OR($C$6="",$J$6="",$L$6=""),"",IF($B30="","",SUBTOTAL(3,$B$11:B30)))</f>
        <v/>
      </c>
      <c r="B30" s="123" t="str">
        <f>IF(OR($C$6="",$J$6="",$L$6=""),"",IF(HKI!$B30="","",HKI!$B30))</f>
        <v/>
      </c>
      <c r="C30" s="124" t="str">
        <f>IF(OR($C$6="",$J$6="",$L$6=""),"",IF(HKI!$C30="","",HKI!$C30))</f>
        <v/>
      </c>
      <c r="D30" s="125" t="str">
        <f>IF(OR($C$6="",$J$6="",$L$6=""),"",IF(HKI!$D30="","",HKI!$D30))</f>
        <v/>
      </c>
      <c r="E30" s="665"/>
      <c r="F30" s="665"/>
      <c r="G30" s="665"/>
      <c r="H30" s="665"/>
      <c r="I30" s="665"/>
      <c r="J30" s="665"/>
      <c r="K30" s="665"/>
      <c r="L30" s="664"/>
      <c r="M30" s="664"/>
      <c r="N30" s="664"/>
      <c r="O30" s="664"/>
    </row>
    <row r="31" spans="1:15" s="188" customFormat="1" ht="18" customHeight="1">
      <c r="A31" s="123" t="str">
        <f>IF(OR($C$6="",$J$6="",$L$6=""),"",IF($B31="","",SUBTOTAL(3,$B$11:B31)))</f>
        <v/>
      </c>
      <c r="B31" s="123" t="str">
        <f>IF(OR($C$6="",$J$6="",$L$6=""),"",IF(HKI!$B31="","",HKI!$B31))</f>
        <v/>
      </c>
      <c r="C31" s="124" t="str">
        <f>IF(OR($C$6="",$J$6="",$L$6=""),"",IF(HKI!$C31="","",HKI!$C31))</f>
        <v/>
      </c>
      <c r="D31" s="125" t="str">
        <f>IF(OR($C$6="",$J$6="",$L$6=""),"",IF(HKI!$D31="","",HKI!$D31))</f>
        <v/>
      </c>
      <c r="E31" s="665"/>
      <c r="F31" s="665"/>
      <c r="G31" s="665"/>
      <c r="H31" s="665"/>
      <c r="I31" s="665"/>
      <c r="J31" s="665"/>
      <c r="K31" s="665"/>
      <c r="L31" s="664"/>
      <c r="M31" s="664"/>
      <c r="N31" s="664"/>
      <c r="O31" s="664"/>
    </row>
    <row r="32" spans="1:15" s="188" customFormat="1" ht="18" customHeight="1">
      <c r="A32" s="123" t="str">
        <f>IF(OR($C$6="",$J$6="",$L$6=""),"",IF($B32="","",SUBTOTAL(3,$B$11:B32)))</f>
        <v/>
      </c>
      <c r="B32" s="123" t="str">
        <f>IF(OR($C$6="",$J$6="",$L$6=""),"",IF(HKI!$B32="","",HKI!$B32))</f>
        <v/>
      </c>
      <c r="C32" s="124" t="str">
        <f>IF(OR($C$6="",$J$6="",$L$6=""),"",IF(HKI!$C32="","",HKI!$C32))</f>
        <v/>
      </c>
      <c r="D32" s="125" t="str">
        <f>IF(OR($C$6="",$J$6="",$L$6=""),"",IF(HKI!$D32="","",HKI!$D32))</f>
        <v/>
      </c>
      <c r="E32" s="665"/>
      <c r="F32" s="665"/>
      <c r="G32" s="665"/>
      <c r="H32" s="665"/>
      <c r="I32" s="665"/>
      <c r="J32" s="665"/>
      <c r="K32" s="665"/>
      <c r="L32" s="664"/>
      <c r="M32" s="664"/>
      <c r="N32" s="664"/>
      <c r="O32" s="664"/>
    </row>
    <row r="33" spans="1:15" s="188" customFormat="1" ht="18" customHeight="1">
      <c r="A33" s="123" t="str">
        <f>IF(OR($C$6="",$J$6="",$L$6=""),"",IF($B33="","",SUBTOTAL(3,$B$11:B33)))</f>
        <v/>
      </c>
      <c r="B33" s="123" t="str">
        <f>IF(OR($C$6="",$J$6="",$L$6=""),"",IF(HKI!$B33="","",HKI!$B33))</f>
        <v/>
      </c>
      <c r="C33" s="124" t="str">
        <f>IF(OR($C$6="",$J$6="",$L$6=""),"",IF(HKI!$C33="","",HKI!$C33))</f>
        <v/>
      </c>
      <c r="D33" s="125" t="str">
        <f>IF(OR($C$6="",$J$6="",$L$6=""),"",IF(HKI!$D33="","",HKI!$D33))</f>
        <v/>
      </c>
      <c r="E33" s="665"/>
      <c r="F33" s="665"/>
      <c r="G33" s="665"/>
      <c r="H33" s="665"/>
      <c r="I33" s="665"/>
      <c r="J33" s="665"/>
      <c r="K33" s="665"/>
      <c r="L33" s="664"/>
      <c r="M33" s="664"/>
      <c r="N33" s="664"/>
      <c r="O33" s="664"/>
    </row>
    <row r="34" spans="1:15" s="188" customFormat="1" ht="18" customHeight="1">
      <c r="A34" s="123" t="str">
        <f>IF(OR($C$6="",$J$6="",$L$6=""),"",IF($B34="","",SUBTOTAL(3,$B$11:B34)))</f>
        <v/>
      </c>
      <c r="B34" s="123" t="str">
        <f>IF(OR($C$6="",$J$6="",$L$6=""),"",IF(HKI!$B34="","",HKI!$B34))</f>
        <v/>
      </c>
      <c r="C34" s="124" t="str">
        <f>IF(OR($C$6="",$J$6="",$L$6=""),"",IF(HKI!$C34="","",HKI!$C34))</f>
        <v/>
      </c>
      <c r="D34" s="125" t="str">
        <f>IF(OR($C$6="",$J$6="",$L$6=""),"",IF(HKI!$D34="","",HKI!$D34))</f>
        <v/>
      </c>
      <c r="E34" s="665"/>
      <c r="F34" s="665"/>
      <c r="G34" s="665"/>
      <c r="H34" s="665"/>
      <c r="I34" s="665"/>
      <c r="J34" s="665"/>
      <c r="K34" s="665"/>
      <c r="L34" s="664"/>
      <c r="M34" s="664"/>
      <c r="N34" s="664"/>
      <c r="O34" s="664"/>
    </row>
    <row r="35" spans="1:15" s="188" customFormat="1" ht="18" customHeight="1">
      <c r="A35" s="123" t="str">
        <f>IF(OR($C$6="",$J$6="",$L$6=""),"",IF($B35="","",SUBTOTAL(3,$B$11:B35)))</f>
        <v/>
      </c>
      <c r="B35" s="123" t="str">
        <f>IF(OR($C$6="",$J$6="",$L$6=""),"",IF(HKI!$B35="","",HKI!$B35))</f>
        <v/>
      </c>
      <c r="C35" s="124" t="str">
        <f>IF(OR($C$6="",$J$6="",$L$6=""),"",IF(HKI!$C35="","",HKI!$C35))</f>
        <v/>
      </c>
      <c r="D35" s="125" t="str">
        <f>IF(OR($C$6="",$J$6="",$L$6=""),"",IF(HKI!$D35="","",HKI!$D35))</f>
        <v/>
      </c>
      <c r="E35" s="665"/>
      <c r="F35" s="665"/>
      <c r="G35" s="665"/>
      <c r="H35" s="665"/>
      <c r="I35" s="665"/>
      <c r="J35" s="665"/>
      <c r="K35" s="665"/>
      <c r="L35" s="664"/>
      <c r="M35" s="664"/>
      <c r="N35" s="664"/>
      <c r="O35" s="664"/>
    </row>
    <row r="36" spans="1:15" s="188" customFormat="1" ht="18" customHeight="1">
      <c r="A36" s="123" t="str">
        <f>IF(OR($C$6="",$J$6="",$L$6=""),"",IF($B36="","",SUBTOTAL(3,$B$11:B36)))</f>
        <v/>
      </c>
      <c r="B36" s="123" t="str">
        <f>IF(OR($C$6="",$J$6="",$L$6=""),"",IF(HKI!$B36="","",HKI!$B36))</f>
        <v/>
      </c>
      <c r="C36" s="124" t="str">
        <f>IF(OR($C$6="",$J$6="",$L$6=""),"",IF(HKI!$C36="","",HKI!$C36))</f>
        <v/>
      </c>
      <c r="D36" s="125" t="str">
        <f>IF(OR($C$6="",$J$6="",$L$6=""),"",IF(HKI!$D36="","",HKI!$D36))</f>
        <v/>
      </c>
      <c r="E36" s="665"/>
      <c r="F36" s="665"/>
      <c r="G36" s="665"/>
      <c r="H36" s="665"/>
      <c r="I36" s="665"/>
      <c r="J36" s="665"/>
      <c r="K36" s="665"/>
      <c r="L36" s="664"/>
      <c r="M36" s="664"/>
      <c r="N36" s="664"/>
      <c r="O36" s="664"/>
    </row>
    <row r="37" spans="1:15" s="188" customFormat="1" ht="18" customHeight="1">
      <c r="A37" s="123" t="str">
        <f>IF(OR($C$6="",$J$6="",$L$6=""),"",IF($B37="","",SUBTOTAL(3,$B$11:B37)))</f>
        <v/>
      </c>
      <c r="B37" s="123" t="str">
        <f>IF(OR($C$6="",$J$6="",$L$6=""),"",IF(HKI!$B37="","",HKI!$B37))</f>
        <v/>
      </c>
      <c r="C37" s="124" t="str">
        <f>IF(OR($C$6="",$J$6="",$L$6=""),"",IF(HKI!$C37="","",HKI!$C37))</f>
        <v/>
      </c>
      <c r="D37" s="125" t="str">
        <f>IF(OR($C$6="",$J$6="",$L$6=""),"",IF(HKI!$D37="","",HKI!$D37))</f>
        <v/>
      </c>
      <c r="E37" s="665"/>
      <c r="F37" s="665"/>
      <c r="G37" s="665"/>
      <c r="H37" s="665"/>
      <c r="I37" s="665"/>
      <c r="J37" s="665"/>
      <c r="K37" s="665"/>
      <c r="L37" s="664"/>
      <c r="M37" s="664"/>
      <c r="N37" s="664"/>
      <c r="O37" s="664"/>
    </row>
    <row r="38" spans="1:15" s="188" customFormat="1" ht="18" customHeight="1">
      <c r="A38" s="123" t="str">
        <f>IF(OR($C$6="",$J$6="",$L$6=""),"",IF($B38="","",SUBTOTAL(3,$B$11:B38)))</f>
        <v/>
      </c>
      <c r="B38" s="123" t="str">
        <f>IF(OR($C$6="",$J$6="",$L$6=""),"",IF(HKI!$B38="","",HKI!$B38))</f>
        <v/>
      </c>
      <c r="C38" s="124" t="str">
        <f>IF(OR($C$6="",$J$6="",$L$6=""),"",IF(HKI!$C38="","",HKI!$C38))</f>
        <v/>
      </c>
      <c r="D38" s="125" t="str">
        <f>IF(OR($C$6="",$J$6="",$L$6=""),"",IF(HKI!$D38="","",HKI!$D38))</f>
        <v/>
      </c>
      <c r="E38" s="665"/>
      <c r="F38" s="665"/>
      <c r="G38" s="665"/>
      <c r="H38" s="665"/>
      <c r="I38" s="665"/>
      <c r="J38" s="665"/>
      <c r="K38" s="665"/>
      <c r="L38" s="664"/>
      <c r="M38" s="664"/>
      <c r="N38" s="664"/>
      <c r="O38" s="664"/>
    </row>
    <row r="39" spans="1:15" s="188" customFormat="1" ht="18" customHeight="1">
      <c r="A39" s="123" t="str">
        <f>IF(OR($C$6="",$J$6="",$L$6=""),"",IF($B39="","",SUBTOTAL(3,$B$11:B39)))</f>
        <v/>
      </c>
      <c r="B39" s="123" t="str">
        <f>IF(OR($C$6="",$J$6="",$L$6=""),"",IF(HKI!$B39="","",HKI!$B39))</f>
        <v/>
      </c>
      <c r="C39" s="124" t="str">
        <f>IF(OR($C$6="",$J$6="",$L$6=""),"",IF(HKI!$C39="","",HKI!$C39))</f>
        <v/>
      </c>
      <c r="D39" s="125" t="str">
        <f>IF(OR($C$6="",$J$6="",$L$6=""),"",IF(HKI!$D39="","",HKI!$D39))</f>
        <v/>
      </c>
      <c r="E39" s="665"/>
      <c r="F39" s="665"/>
      <c r="G39" s="665"/>
      <c r="H39" s="665"/>
      <c r="I39" s="665"/>
      <c r="J39" s="665"/>
      <c r="K39" s="665"/>
      <c r="L39" s="664"/>
      <c r="M39" s="664"/>
      <c r="N39" s="664"/>
      <c r="O39" s="664"/>
    </row>
    <row r="40" spans="1:15" s="188" customFormat="1" ht="18" customHeight="1">
      <c r="A40" s="123" t="str">
        <f>IF(OR($C$6="",$J$6="",$L$6=""),"",IF($B40="","",SUBTOTAL(3,$B$11:B40)))</f>
        <v/>
      </c>
      <c r="B40" s="123" t="str">
        <f>IF(OR($C$6="",$J$6="",$L$6=""),"",IF(HKI!$B40="","",HKI!$B40))</f>
        <v/>
      </c>
      <c r="C40" s="124" t="str">
        <f>IF(OR($C$6="",$J$6="",$L$6=""),"",IF(HKI!$C40="","",HKI!$C40))</f>
        <v/>
      </c>
      <c r="D40" s="125" t="str">
        <f>IF(OR($C$6="",$J$6="",$L$6=""),"",IF(HKI!$D40="","",HKI!$D40))</f>
        <v/>
      </c>
      <c r="E40" s="665"/>
      <c r="F40" s="665"/>
      <c r="G40" s="665"/>
      <c r="H40" s="665"/>
      <c r="I40" s="665"/>
      <c r="J40" s="665"/>
      <c r="K40" s="665"/>
      <c r="L40" s="664"/>
      <c r="M40" s="664"/>
      <c r="N40" s="664"/>
      <c r="O40" s="664"/>
    </row>
    <row r="41" spans="1:15" s="188" customFormat="1" ht="18" customHeight="1">
      <c r="A41" s="123" t="str">
        <f>IF(OR($C$6="",$J$6="",$L$6=""),"",IF($B41="","",SUBTOTAL(3,$B$11:B41)))</f>
        <v/>
      </c>
      <c r="B41" s="123" t="str">
        <f>IF(OR($C$6="",$J$6="",$L$6=""),"",IF(HKI!$B41="","",HKI!$B41))</f>
        <v/>
      </c>
      <c r="C41" s="124" t="str">
        <f>IF(OR($C$6="",$J$6="",$L$6=""),"",IF(HKI!$C41="","",HKI!$C41))</f>
        <v/>
      </c>
      <c r="D41" s="125" t="str">
        <f>IF(OR($C$6="",$J$6="",$L$6=""),"",IF(HKI!$D41="","",HKI!$D41))</f>
        <v/>
      </c>
      <c r="E41" s="665"/>
      <c r="F41" s="665"/>
      <c r="G41" s="665"/>
      <c r="H41" s="665"/>
      <c r="I41" s="665"/>
      <c r="J41" s="665"/>
      <c r="K41" s="665"/>
      <c r="L41" s="664"/>
      <c r="M41" s="664"/>
      <c r="N41" s="664"/>
      <c r="O41" s="664"/>
    </row>
    <row r="42" spans="1:15" s="188" customFormat="1" ht="18" customHeight="1">
      <c r="A42" s="123" t="str">
        <f>IF(OR($C$6="",$J$6="",$L$6=""),"",IF($B42="","",SUBTOTAL(3,$B$11:B42)))</f>
        <v/>
      </c>
      <c r="B42" s="123" t="str">
        <f>IF(OR($C$6="",$J$6="",$L$6=""),"",IF(HKI!$B42="","",HKI!$B42))</f>
        <v/>
      </c>
      <c r="C42" s="124" t="str">
        <f>IF(OR($C$6="",$J$6="",$L$6=""),"",IF(HKI!$C42="","",HKI!$C42))</f>
        <v/>
      </c>
      <c r="D42" s="125" t="str">
        <f>IF(OR($C$6="",$J$6="",$L$6=""),"",IF(HKI!$D42="","",HKI!$D42))</f>
        <v/>
      </c>
      <c r="E42" s="665"/>
      <c r="F42" s="665"/>
      <c r="G42" s="665"/>
      <c r="H42" s="665"/>
      <c r="I42" s="665"/>
      <c r="J42" s="665"/>
      <c r="K42" s="665"/>
      <c r="L42" s="664"/>
      <c r="M42" s="664"/>
      <c r="N42" s="664"/>
      <c r="O42" s="664"/>
    </row>
    <row r="43" spans="1:15" s="188" customFormat="1" ht="18" customHeight="1">
      <c r="A43" s="123" t="str">
        <f>IF(OR($C$6="",$J$6="",$L$6=""),"",IF($B43="","",SUBTOTAL(3,$B$11:B43)))</f>
        <v/>
      </c>
      <c r="B43" s="123" t="str">
        <f>IF(OR($C$6="",$J$6="",$L$6=""),"",IF(HKI!$B43="","",HKI!$B43))</f>
        <v/>
      </c>
      <c r="C43" s="124" t="str">
        <f>IF(OR($C$6="",$J$6="",$L$6=""),"",IF(HKI!$C43="","",HKI!$C43))</f>
        <v/>
      </c>
      <c r="D43" s="125" t="str">
        <f>IF(OR($C$6="",$J$6="",$L$6=""),"",IF(HKI!$D43="","",HKI!$D43))</f>
        <v/>
      </c>
      <c r="E43" s="665"/>
      <c r="F43" s="665"/>
      <c r="G43" s="665"/>
      <c r="H43" s="665"/>
      <c r="I43" s="665"/>
      <c r="J43" s="665"/>
      <c r="K43" s="665"/>
      <c r="L43" s="664"/>
      <c r="M43" s="664"/>
      <c r="N43" s="664"/>
      <c r="O43" s="664"/>
    </row>
    <row r="44" spans="1:15" s="188" customFormat="1" ht="18" customHeight="1">
      <c r="A44" s="123" t="str">
        <f>IF(OR($C$6="",$J$6="",$L$6=""),"",IF($B44="","",SUBTOTAL(3,$B$11:B44)))</f>
        <v/>
      </c>
      <c r="B44" s="123" t="str">
        <f>IF(OR($C$6="",$J$6="",$L$6=""),"",IF(HKI!$B44="","",HKI!$B44))</f>
        <v/>
      </c>
      <c r="C44" s="124" t="str">
        <f>IF(OR($C$6="",$J$6="",$L$6=""),"",IF(HKI!$C44="","",HKI!$C44))</f>
        <v/>
      </c>
      <c r="D44" s="125" t="str">
        <f>IF(OR($C$6="",$J$6="",$L$6=""),"",IF(HKI!$D44="","",HKI!$D44))</f>
        <v/>
      </c>
      <c r="E44" s="665"/>
      <c r="F44" s="665"/>
      <c r="G44" s="665"/>
      <c r="H44" s="665"/>
      <c r="I44" s="665"/>
      <c r="J44" s="665"/>
      <c r="K44" s="665"/>
      <c r="L44" s="664"/>
      <c r="M44" s="664"/>
      <c r="N44" s="664"/>
      <c r="O44" s="664"/>
    </row>
    <row r="45" spans="1:15" s="188" customFormat="1" ht="18" customHeight="1">
      <c r="A45" s="123" t="str">
        <f>IF(OR($C$6="",$J$6="",$L$6=""),"",IF($B45="","",SUBTOTAL(3,$B$11:B45)))</f>
        <v/>
      </c>
      <c r="B45" s="123" t="str">
        <f>IF(OR($C$6="",$J$6="",$L$6=""),"",IF(HKI!$B45="","",HKI!$B45))</f>
        <v/>
      </c>
      <c r="C45" s="124" t="str">
        <f>IF(OR($C$6="",$J$6="",$L$6=""),"",IF(HKI!$C45="","",HKI!$C45))</f>
        <v/>
      </c>
      <c r="D45" s="125" t="str">
        <f>IF(OR($C$6="",$J$6="",$L$6=""),"",IF(HKI!$D45="","",HKI!$D45))</f>
        <v/>
      </c>
      <c r="E45" s="665"/>
      <c r="F45" s="665"/>
      <c r="G45" s="665"/>
      <c r="H45" s="665"/>
      <c r="I45" s="665"/>
      <c r="J45" s="665"/>
      <c r="K45" s="665"/>
      <c r="L45" s="664"/>
      <c r="M45" s="664"/>
      <c r="N45" s="664"/>
      <c r="O45" s="664"/>
    </row>
    <row r="46" spans="1:15" s="188" customFormat="1" ht="18" customHeight="1">
      <c r="A46" s="123" t="str">
        <f>IF(OR($C$6="",$J$6="",$L$6=""),"",IF($B46="","",SUBTOTAL(3,$B$11:B46)))</f>
        <v/>
      </c>
      <c r="B46" s="123" t="str">
        <f>IF(OR($C$6="",$J$6="",$L$6=""),"",IF(HKI!$B46="","",HKI!$B46))</f>
        <v/>
      </c>
      <c r="C46" s="124" t="str">
        <f>IF(OR($C$6="",$J$6="",$L$6=""),"",IF(HKI!$C46="","",HKI!$C46))</f>
        <v/>
      </c>
      <c r="D46" s="125" t="str">
        <f>IF(OR($C$6="",$J$6="",$L$6=""),"",IF(HKI!$D46="","",HKI!$D46))</f>
        <v/>
      </c>
      <c r="E46" s="665"/>
      <c r="F46" s="665"/>
      <c r="G46" s="665"/>
      <c r="H46" s="665"/>
      <c r="I46" s="665"/>
      <c r="J46" s="665"/>
      <c r="K46" s="665"/>
      <c r="L46" s="664"/>
      <c r="M46" s="664"/>
      <c r="N46" s="664"/>
      <c r="O46" s="664"/>
    </row>
    <row r="47" spans="1:15" s="188" customFormat="1" ht="18" customHeight="1">
      <c r="A47" s="123" t="str">
        <f>IF(OR($C$6="",$J$6="",$L$6=""),"",IF($B47="","",SUBTOTAL(3,$B$11:B47)))</f>
        <v/>
      </c>
      <c r="B47" s="123" t="str">
        <f>IF(OR($C$6="",$J$6="",$L$6=""),"",IF(HKI!$B47="","",HKI!$B47))</f>
        <v/>
      </c>
      <c r="C47" s="124" t="str">
        <f>IF(OR($C$6="",$J$6="",$L$6=""),"",IF(HKI!$C47="","",HKI!$C47))</f>
        <v/>
      </c>
      <c r="D47" s="125" t="str">
        <f>IF(OR($C$6="",$J$6="",$L$6=""),"",IF(HKI!$D47="","",HKI!$D47))</f>
        <v/>
      </c>
      <c r="E47" s="665"/>
      <c r="F47" s="665"/>
      <c r="G47" s="665"/>
      <c r="H47" s="665"/>
      <c r="I47" s="665"/>
      <c r="J47" s="665"/>
      <c r="K47" s="665"/>
      <c r="L47" s="664"/>
      <c r="M47" s="664"/>
      <c r="N47" s="664"/>
      <c r="O47" s="664"/>
    </row>
    <row r="48" spans="1:15" s="188" customFormat="1" ht="18" customHeight="1">
      <c r="A48" s="123" t="str">
        <f>IF(OR($C$6="",$J$6="",$L$6=""),"",IF($B48="","",SUBTOTAL(3,$B$11:B48)))</f>
        <v/>
      </c>
      <c r="B48" s="123" t="str">
        <f>IF(OR($C$6="",$J$6="",$L$6=""),"",IF(HKI!$B48="","",HKI!$B48))</f>
        <v/>
      </c>
      <c r="C48" s="124" t="str">
        <f>IF(OR($C$6="",$J$6="",$L$6=""),"",IF(HKI!$C48="","",HKI!$C48))</f>
        <v/>
      </c>
      <c r="D48" s="125" t="str">
        <f>IF(OR($C$6="",$J$6="",$L$6=""),"",IF(HKI!$D48="","",HKI!$D48))</f>
        <v/>
      </c>
      <c r="E48" s="665"/>
      <c r="F48" s="665"/>
      <c r="G48" s="665"/>
      <c r="H48" s="665"/>
      <c r="I48" s="665"/>
      <c r="J48" s="665"/>
      <c r="K48" s="665"/>
      <c r="L48" s="664"/>
      <c r="M48" s="664"/>
      <c r="N48" s="664"/>
      <c r="O48" s="664"/>
    </row>
    <row r="49" spans="1:15" s="188" customFormat="1" ht="18" customHeight="1">
      <c r="A49" s="123" t="str">
        <f>IF(OR($C$6="",$J$6="",$L$6=""),"",IF($B49="","",SUBTOTAL(3,$B$11:B49)))</f>
        <v/>
      </c>
      <c r="B49" s="123" t="str">
        <f>IF(OR($C$6="",$J$6="",$L$6=""),"",IF(HKI!$B49="","",HKI!$B49))</f>
        <v/>
      </c>
      <c r="C49" s="124" t="str">
        <f>IF(OR($C$6="",$J$6="",$L$6=""),"",IF(HKI!$C49="","",HKI!$C49))</f>
        <v/>
      </c>
      <c r="D49" s="125" t="str">
        <f>IF(OR($C$6="",$J$6="",$L$6=""),"",IF(HKI!$D49="","",HKI!$D49))</f>
        <v/>
      </c>
      <c r="E49" s="665"/>
      <c r="F49" s="665"/>
      <c r="G49" s="665"/>
      <c r="H49" s="665"/>
      <c r="I49" s="665"/>
      <c r="J49" s="665"/>
      <c r="K49" s="665"/>
      <c r="L49" s="664"/>
      <c r="M49" s="664"/>
      <c r="N49" s="664"/>
      <c r="O49" s="664"/>
    </row>
    <row r="50" spans="1:15" s="188" customFormat="1" ht="18" customHeight="1">
      <c r="A50" s="123" t="str">
        <f>IF(OR($C$6="",$J$6="",$L$6=""),"",IF($B50="","",SUBTOTAL(3,$B$11:B50)))</f>
        <v/>
      </c>
      <c r="B50" s="123" t="str">
        <f>IF(OR($C$6="",$J$6="",$L$6=""),"",IF(HKI!$B50="","",HKI!$B50))</f>
        <v/>
      </c>
      <c r="C50" s="124" t="str">
        <f>IF(OR($C$6="",$J$6="",$L$6=""),"",IF(HKI!$C50="","",HKI!$C50))</f>
        <v/>
      </c>
      <c r="D50" s="125" t="str">
        <f>IF(OR($C$6="",$J$6="",$L$6=""),"",IF(HKI!$D50="","",HKI!$D50))</f>
        <v/>
      </c>
      <c r="E50" s="665"/>
      <c r="F50" s="665"/>
      <c r="G50" s="665"/>
      <c r="H50" s="665"/>
      <c r="I50" s="665"/>
      <c r="J50" s="665"/>
      <c r="K50" s="665"/>
      <c r="L50" s="664"/>
      <c r="M50" s="664"/>
      <c r="N50" s="664"/>
      <c r="O50" s="664"/>
    </row>
    <row r="51" spans="1:15" s="188" customFormat="1" ht="18" customHeight="1">
      <c r="A51" s="123" t="str">
        <f>IF(OR($C$6="",$J$6="",$L$6=""),"",IF($B51="","",SUBTOTAL(3,$B$11:B51)))</f>
        <v/>
      </c>
      <c r="B51" s="123" t="str">
        <f>IF(OR($C$6="",$J$6="",$L$6=""),"",IF(HKI!$B51="","",HKI!$B51))</f>
        <v/>
      </c>
      <c r="C51" s="124" t="str">
        <f>IF(OR($C$6="",$J$6="",$L$6=""),"",IF(HKI!$C51="","",HKI!$C51))</f>
        <v/>
      </c>
      <c r="D51" s="125" t="str">
        <f>IF(OR($C$6="",$J$6="",$L$6=""),"",IF(HKI!$D51="","",HKI!$D51))</f>
        <v/>
      </c>
      <c r="E51" s="665"/>
      <c r="F51" s="665"/>
      <c r="G51" s="665"/>
      <c r="H51" s="665"/>
      <c r="I51" s="665"/>
      <c r="J51" s="665"/>
      <c r="K51" s="665"/>
      <c r="L51" s="664"/>
      <c r="M51" s="664"/>
      <c r="N51" s="664"/>
      <c r="O51" s="664"/>
    </row>
    <row r="52" spans="1:15" s="188" customFormat="1" ht="18" customHeight="1">
      <c r="A52" s="123" t="str">
        <f>IF(OR($C$6="",$J$6="",$L$6=""),"",IF($B52="","",SUBTOTAL(3,$B$11:B52)))</f>
        <v/>
      </c>
      <c r="B52" s="123" t="str">
        <f>IF(OR($C$6="",$J$6="",$L$6=""),"",IF(HKI!$B52="","",HKI!$B52))</f>
        <v/>
      </c>
      <c r="C52" s="124" t="str">
        <f>IF(OR($C$6="",$J$6="",$L$6=""),"",IF(HKI!$C52="","",HKI!$C52))</f>
        <v/>
      </c>
      <c r="D52" s="125" t="str">
        <f>IF(OR($C$6="",$J$6="",$L$6=""),"",IF(HKI!$D52="","",HKI!$D52))</f>
        <v/>
      </c>
      <c r="E52" s="665"/>
      <c r="F52" s="665"/>
      <c r="G52" s="665"/>
      <c r="H52" s="665"/>
      <c r="I52" s="665"/>
      <c r="J52" s="665"/>
      <c r="K52" s="665"/>
      <c r="L52" s="664"/>
      <c r="M52" s="664"/>
      <c r="N52" s="664"/>
      <c r="O52" s="664"/>
    </row>
    <row r="53" spans="1:15" s="188" customFormat="1" ht="18" customHeight="1">
      <c r="A53" s="123" t="str">
        <f>IF(OR($C$6="",$J$6="",$L$6=""),"",IF($B53="","",SUBTOTAL(3,$B$11:B53)))</f>
        <v/>
      </c>
      <c r="B53" s="123" t="str">
        <f>IF(OR($C$6="",$J$6="",$L$6=""),"",IF(HKI!$B53="","",HKI!$B53))</f>
        <v/>
      </c>
      <c r="C53" s="124" t="str">
        <f>IF(OR($C$6="",$J$6="",$L$6=""),"",IF(HKI!$C53="","",HKI!$C53))</f>
        <v/>
      </c>
      <c r="D53" s="125" t="str">
        <f>IF(OR($C$6="",$J$6="",$L$6=""),"",IF(HKI!$D53="","",HKI!$D53))</f>
        <v/>
      </c>
      <c r="E53" s="665"/>
      <c r="F53" s="665"/>
      <c r="G53" s="665"/>
      <c r="H53" s="665"/>
      <c r="I53" s="665"/>
      <c r="J53" s="665"/>
      <c r="K53" s="665"/>
      <c r="L53" s="664"/>
      <c r="M53" s="664"/>
      <c r="N53" s="664"/>
      <c r="O53" s="664"/>
    </row>
    <row r="54" spans="1:15" s="188" customFormat="1" ht="18" customHeight="1">
      <c r="A54" s="123" t="str">
        <f>IF(OR($C$6="",$J$6="",$L$6=""),"",IF($B54="","",SUBTOTAL(3,$B$11:B54)))</f>
        <v/>
      </c>
      <c r="B54" s="123" t="str">
        <f>IF(OR($C$6="",$J$6="",$L$6=""),"",IF(HKI!$B54="","",HKI!$B54))</f>
        <v/>
      </c>
      <c r="C54" s="124" t="str">
        <f>IF(OR($C$6="",$J$6="",$L$6=""),"",IF(HKI!$C54="","",HKI!$C54))</f>
        <v/>
      </c>
      <c r="D54" s="125" t="str">
        <f>IF(OR($C$6="",$J$6="",$L$6=""),"",IF(HKI!$D54="","",HKI!$D54))</f>
        <v/>
      </c>
      <c r="E54" s="665"/>
      <c r="F54" s="665"/>
      <c r="G54" s="665"/>
      <c r="H54" s="665"/>
      <c r="I54" s="665"/>
      <c r="J54" s="665"/>
      <c r="K54" s="665"/>
      <c r="L54" s="664"/>
      <c r="M54" s="664"/>
      <c r="N54" s="664"/>
      <c r="O54" s="664"/>
    </row>
    <row r="55" spans="1:15" s="188" customFormat="1" ht="18" customHeight="1">
      <c r="A55" s="123" t="str">
        <f>IF(OR($C$6="",$J$6="",$L$6=""),"",IF($B55="","",SUBTOTAL(3,$B$11:B55)))</f>
        <v/>
      </c>
      <c r="B55" s="123" t="str">
        <f>IF(OR($C$6="",$J$6="",$L$6=""),"",IF(HKI!$B55="","",HKI!$B55))</f>
        <v/>
      </c>
      <c r="C55" s="124" t="str">
        <f>IF(OR($C$6="",$J$6="",$L$6=""),"",IF(HKI!$C55="","",HKI!$C55))</f>
        <v/>
      </c>
      <c r="D55" s="125" t="str">
        <f>IF(OR($C$6="",$J$6="",$L$6=""),"",IF(HKI!$D55="","",HKI!$D55))</f>
        <v/>
      </c>
      <c r="E55" s="665"/>
      <c r="F55" s="665"/>
      <c r="G55" s="665"/>
      <c r="H55" s="665"/>
      <c r="I55" s="665"/>
      <c r="J55" s="665"/>
      <c r="K55" s="665"/>
      <c r="L55" s="664"/>
      <c r="M55" s="664"/>
      <c r="N55" s="664"/>
      <c r="O55" s="664"/>
    </row>
    <row r="56" spans="1:15" s="188" customFormat="1" ht="18" customHeight="1">
      <c r="A56" s="123" t="str">
        <f>IF(OR($C$6="",$J$6="",$L$6=""),"",IF($B56="","",SUBTOTAL(3,$B$11:B56)))</f>
        <v/>
      </c>
      <c r="B56" s="123" t="str">
        <f>IF(OR($C$6="",$J$6="",$L$6=""),"",IF(HKI!$B56="","",HKI!$B56))</f>
        <v/>
      </c>
      <c r="C56" s="124" t="str">
        <f>IF(OR($C$6="",$J$6="",$L$6=""),"",IF(HKI!$C56="","",HKI!$C56))</f>
        <v/>
      </c>
      <c r="D56" s="125" t="str">
        <f>IF(OR($C$6="",$J$6="",$L$6=""),"",IF(HKI!$D56="","",HKI!$D56))</f>
        <v/>
      </c>
      <c r="E56" s="665"/>
      <c r="F56" s="665"/>
      <c r="G56" s="665"/>
      <c r="H56" s="665"/>
      <c r="I56" s="665"/>
      <c r="J56" s="665"/>
      <c r="K56" s="665"/>
      <c r="L56" s="664"/>
      <c r="M56" s="664"/>
      <c r="N56" s="664"/>
      <c r="O56" s="664"/>
    </row>
    <row r="57" spans="1:15" s="188" customFormat="1" ht="18" customHeight="1">
      <c r="A57" s="123" t="str">
        <f>IF(OR($C$6="",$J$6="",$L$6=""),"",IF($B57="","",SUBTOTAL(3,$B$11:B57)))</f>
        <v/>
      </c>
      <c r="B57" s="123" t="str">
        <f>IF(OR($C$6="",$J$6="",$L$6=""),"",IF(HKI!$B57="","",HKI!$B57))</f>
        <v/>
      </c>
      <c r="C57" s="124" t="str">
        <f>IF(OR($C$6="",$J$6="",$L$6=""),"",IF(HKI!$C57="","",HKI!$C57))</f>
        <v/>
      </c>
      <c r="D57" s="125" t="str">
        <f>IF(OR($C$6="",$J$6="",$L$6=""),"",IF(HKI!$D57="","",HKI!$D57))</f>
        <v/>
      </c>
      <c r="E57" s="665"/>
      <c r="F57" s="665"/>
      <c r="G57" s="665"/>
      <c r="H57" s="665"/>
      <c r="I57" s="665"/>
      <c r="J57" s="665"/>
      <c r="K57" s="665"/>
      <c r="L57" s="664"/>
      <c r="M57" s="664"/>
      <c r="N57" s="664"/>
      <c r="O57" s="664"/>
    </row>
    <row r="58" spans="1:15" s="188" customFormat="1" ht="18" customHeight="1">
      <c r="A58" s="123" t="str">
        <f>IF(OR($C$6="",$J$6="",$L$6=""),"",IF($B58="","",SUBTOTAL(3,$B$11:B58)))</f>
        <v/>
      </c>
      <c r="B58" s="123" t="str">
        <f>IF(OR($C$6="",$J$6="",$L$6=""),"",IF(HKI!$B58="","",HKI!$B58))</f>
        <v/>
      </c>
      <c r="C58" s="124" t="str">
        <f>IF(OR($C$6="",$J$6="",$L$6=""),"",IF(HKI!$C58="","",HKI!$C58))</f>
        <v/>
      </c>
      <c r="D58" s="125" t="str">
        <f>IF(OR($C$6="",$J$6="",$L$6=""),"",IF(HKI!$D58="","",HKI!$D58))</f>
        <v/>
      </c>
      <c r="E58" s="665"/>
      <c r="F58" s="665"/>
      <c r="G58" s="665"/>
      <c r="H58" s="665"/>
      <c r="I58" s="665"/>
      <c r="J58" s="665"/>
      <c r="K58" s="665"/>
      <c r="L58" s="664"/>
      <c r="M58" s="664"/>
      <c r="N58" s="664"/>
      <c r="O58" s="664"/>
    </row>
    <row r="59" spans="1:15" s="188" customFormat="1" ht="18" customHeight="1">
      <c r="A59" s="123" t="str">
        <f>IF(OR($C$6="",$J$6="",$L$6=""),"",IF($B59="","",SUBTOTAL(3,$B$11:B59)))</f>
        <v/>
      </c>
      <c r="B59" s="123" t="str">
        <f>IF(OR($C$6="",$J$6="",$L$6=""),"",IF(HKI!$B59="","",HKI!$B59))</f>
        <v/>
      </c>
      <c r="C59" s="124" t="str">
        <f>IF(OR($C$6="",$J$6="",$L$6=""),"",IF(HKI!$C59="","",HKI!$C59))</f>
        <v/>
      </c>
      <c r="D59" s="125" t="str">
        <f>IF(OR($C$6="",$J$6="",$L$6=""),"",IF(HKI!$D59="","",HKI!$D59))</f>
        <v/>
      </c>
      <c r="E59" s="665"/>
      <c r="F59" s="665"/>
      <c r="G59" s="665"/>
      <c r="H59" s="665"/>
      <c r="I59" s="665"/>
      <c r="J59" s="665"/>
      <c r="K59" s="665"/>
      <c r="L59" s="664"/>
      <c r="M59" s="664"/>
      <c r="N59" s="664"/>
      <c r="O59" s="664"/>
    </row>
    <row r="60" spans="1:15" s="188" customFormat="1" ht="18" customHeight="1">
      <c r="A60" s="123" t="str">
        <f>IF(OR($C$6="",$J$6="",$L$6=""),"",IF($B60="","",SUBTOTAL(3,$B$11:B60)))</f>
        <v/>
      </c>
      <c r="B60" s="123" t="str">
        <f>IF(OR($C$6="",$J$6="",$L$6=""),"",IF(HKI!$B60="","",HKI!$B60))</f>
        <v/>
      </c>
      <c r="C60" s="124" t="str">
        <f>IF(OR($C$6="",$J$6="",$L$6=""),"",IF(HKI!$C60="","",HKI!$C60))</f>
        <v/>
      </c>
      <c r="D60" s="125" t="str">
        <f>IF(OR($C$6="",$J$6="",$L$6=""),"",IF(HKI!$D60="","",HKI!$D60))</f>
        <v/>
      </c>
      <c r="E60" s="665"/>
      <c r="F60" s="665"/>
      <c r="G60" s="665"/>
      <c r="H60" s="665"/>
      <c r="I60" s="665"/>
      <c r="J60" s="665"/>
      <c r="K60" s="665"/>
      <c r="L60" s="664"/>
      <c r="M60" s="664"/>
      <c r="N60" s="664"/>
      <c r="O60" s="664"/>
    </row>
    <row r="61" spans="1:15" s="188" customFormat="1" ht="18" customHeight="1">
      <c r="A61" s="123" t="str">
        <f>IF(OR($C$6="",$J$6="",$L$6=""),"",IF($B61="","",SUBTOTAL(3,$B$11:B61)))</f>
        <v/>
      </c>
      <c r="B61" s="123" t="str">
        <f>IF(OR($C$6="",$J$6="",$L$6=""),"",IF(HKI!$B61="","",HKI!$B61))</f>
        <v/>
      </c>
      <c r="C61" s="124" t="str">
        <f>IF(OR($C$6="",$J$6="",$L$6=""),"",IF(HKI!$C61="","",HKI!$C61))</f>
        <v/>
      </c>
      <c r="D61" s="125" t="str">
        <f>IF(OR($C$6="",$J$6="",$L$6=""),"",IF(HKI!$D61="","",HKI!$D61))</f>
        <v/>
      </c>
      <c r="E61" s="665"/>
      <c r="F61" s="665"/>
      <c r="G61" s="665"/>
      <c r="H61" s="665"/>
      <c r="I61" s="665"/>
      <c r="J61" s="665"/>
      <c r="K61" s="665"/>
      <c r="L61" s="664"/>
      <c r="M61" s="664"/>
      <c r="N61" s="664"/>
      <c r="O61" s="664"/>
    </row>
    <row r="62" spans="1:15" s="188" customFormat="1" ht="18" customHeight="1">
      <c r="A62" s="123" t="str">
        <f>IF(OR($C$6="",$J$6="",$L$6=""),"",IF($B62="","",SUBTOTAL(3,$B$11:B62)))</f>
        <v/>
      </c>
      <c r="B62" s="123" t="str">
        <f>IF(OR($C$6="",$J$6="",$L$6=""),"",IF(HKI!$B62="","",HKI!$B62))</f>
        <v/>
      </c>
      <c r="C62" s="124" t="str">
        <f>IF(OR($C$6="",$J$6="",$L$6=""),"",IF(HKI!$C62="","",HKI!$C62))</f>
        <v/>
      </c>
      <c r="D62" s="125" t="str">
        <f>IF(OR($C$6="",$J$6="",$L$6=""),"",IF(HKI!$D62="","",HKI!$D62))</f>
        <v/>
      </c>
      <c r="E62" s="665"/>
      <c r="F62" s="665"/>
      <c r="G62" s="665"/>
      <c r="H62" s="665"/>
      <c r="I62" s="665"/>
      <c r="J62" s="665"/>
      <c r="K62" s="665"/>
      <c r="L62" s="664"/>
      <c r="M62" s="664"/>
      <c r="N62" s="664"/>
      <c r="O62" s="664"/>
    </row>
    <row r="63" spans="1:15" s="188" customFormat="1" ht="18" customHeight="1">
      <c r="A63" s="123" t="str">
        <f>IF(OR($C$6="",$J$6="",$L$6=""),"",IF($B63="","",SUBTOTAL(3,$B$11:B63)))</f>
        <v/>
      </c>
      <c r="B63" s="123" t="str">
        <f>IF(OR($C$6="",$J$6="",$L$6=""),"",IF(HKI!$B63="","",HKI!$B63))</f>
        <v/>
      </c>
      <c r="C63" s="124" t="str">
        <f>IF(OR($C$6="",$J$6="",$L$6=""),"",IF(HKI!$C63="","",HKI!$C63))</f>
        <v/>
      </c>
      <c r="D63" s="125" t="str">
        <f>IF(OR($C$6="",$J$6="",$L$6=""),"",IF(HKI!$D63="","",HKI!$D63))</f>
        <v/>
      </c>
      <c r="E63" s="665"/>
      <c r="F63" s="665"/>
      <c r="G63" s="665"/>
      <c r="H63" s="665"/>
      <c r="I63" s="665"/>
      <c r="J63" s="665"/>
      <c r="K63" s="665"/>
      <c r="L63" s="664"/>
      <c r="M63" s="664"/>
      <c r="N63" s="664"/>
      <c r="O63" s="664"/>
    </row>
    <row r="64" spans="1:15" s="188" customFormat="1" ht="18" customHeight="1">
      <c r="A64" s="123" t="str">
        <f>IF(OR($C$6="",$J$6="",$L$6=""),"",IF($B64="","",SUBTOTAL(3,$B$11:B64)))</f>
        <v/>
      </c>
      <c r="B64" s="123" t="str">
        <f>IF(OR($C$6="",$J$6="",$L$6=""),"",IF(HKI!$B64="","",HKI!$B64))</f>
        <v/>
      </c>
      <c r="C64" s="124" t="str">
        <f>IF(OR($C$6="",$J$6="",$L$6=""),"",IF(HKI!$C64="","",HKI!$C64))</f>
        <v/>
      </c>
      <c r="D64" s="125" t="str">
        <f>IF(OR($C$6="",$J$6="",$L$6=""),"",IF(HKI!$D64="","",HKI!$D64))</f>
        <v/>
      </c>
      <c r="E64" s="665"/>
      <c r="F64" s="665"/>
      <c r="G64" s="665"/>
      <c r="H64" s="665"/>
      <c r="I64" s="665"/>
      <c r="J64" s="665"/>
      <c r="K64" s="665"/>
      <c r="L64" s="664"/>
      <c r="M64" s="664"/>
      <c r="N64" s="664"/>
      <c r="O64" s="664"/>
    </row>
    <row r="65" spans="1:15" s="188" customFormat="1" ht="18" customHeight="1">
      <c r="A65" s="123" t="str">
        <f>IF(OR($C$6="",$J$6="",$L$6=""),"",IF($B65="","",SUBTOTAL(3,$B$11:B65)))</f>
        <v/>
      </c>
      <c r="B65" s="123" t="str">
        <f>IF(OR($C$6="",$J$6="",$L$6=""),"",IF(HKI!$B65="","",HKI!$B65))</f>
        <v/>
      </c>
      <c r="C65" s="124" t="str">
        <f>IF(OR($C$6="",$J$6="",$L$6=""),"",IF(HKI!$C65="","",HKI!$C65))</f>
        <v/>
      </c>
      <c r="D65" s="125" t="str">
        <f>IF(OR($C$6="",$J$6="",$L$6=""),"",IF(HKI!$D65="","",HKI!$D65))</f>
        <v/>
      </c>
      <c r="E65" s="665"/>
      <c r="F65" s="665"/>
      <c r="G65" s="665"/>
      <c r="H65" s="665"/>
      <c r="I65" s="665"/>
      <c r="J65" s="665"/>
      <c r="K65" s="665"/>
      <c r="L65" s="664"/>
      <c r="M65" s="664"/>
      <c r="N65" s="664"/>
      <c r="O65" s="664"/>
    </row>
    <row r="66" spans="1:15" s="188" customFormat="1" ht="18" customHeight="1">
      <c r="A66" s="123" t="str">
        <f>IF(OR($C$6="",$J$6="",$L$6=""),"",IF($B66="","",SUBTOTAL(3,$B$11:B66)))</f>
        <v/>
      </c>
      <c r="B66" s="123" t="str">
        <f>IF(OR($C$6="",$J$6="",$L$6=""),"",IF(HKI!$B66="","",HKI!$B66))</f>
        <v/>
      </c>
      <c r="C66" s="124" t="str">
        <f>IF(OR($C$6="",$J$6="",$L$6=""),"",IF(HKI!$C66="","",HKI!$C66))</f>
        <v/>
      </c>
      <c r="D66" s="125" t="str">
        <f>IF(OR($C$6="",$J$6="",$L$6=""),"",IF(HKI!$D66="","",HKI!$D66))</f>
        <v/>
      </c>
      <c r="E66" s="665"/>
      <c r="F66" s="665"/>
      <c r="G66" s="665"/>
      <c r="H66" s="665"/>
      <c r="I66" s="665"/>
      <c r="J66" s="665"/>
      <c r="K66" s="665"/>
      <c r="L66" s="664"/>
      <c r="M66" s="664"/>
      <c r="N66" s="664"/>
      <c r="O66" s="664"/>
    </row>
    <row r="67" spans="1:15" s="188" customFormat="1" ht="18" customHeight="1">
      <c r="A67" s="123" t="str">
        <f>IF(OR($C$6="",$J$6="",$L$6=""),"",IF($B67="","",SUBTOTAL(3,$B$11:B67)))</f>
        <v/>
      </c>
      <c r="B67" s="123" t="str">
        <f>IF(OR($C$6="",$J$6="",$L$6=""),"",IF(HKI!$B67="","",HKI!$B67))</f>
        <v/>
      </c>
      <c r="C67" s="124" t="str">
        <f>IF(OR($C$6="",$J$6="",$L$6=""),"",IF(HKI!$C67="","",HKI!$C67))</f>
        <v/>
      </c>
      <c r="D67" s="125" t="str">
        <f>IF(OR($C$6="",$J$6="",$L$6=""),"",IF(HKI!$D67="","",HKI!$D67))</f>
        <v/>
      </c>
      <c r="E67" s="665"/>
      <c r="F67" s="665"/>
      <c r="G67" s="665"/>
      <c r="H67" s="665"/>
      <c r="I67" s="665"/>
      <c r="J67" s="665"/>
      <c r="K67" s="665"/>
      <c r="L67" s="664"/>
      <c r="M67" s="664"/>
      <c r="N67" s="664"/>
      <c r="O67" s="664"/>
    </row>
    <row r="68" spans="1:15" s="188" customFormat="1" ht="18" customHeight="1">
      <c r="A68" s="123" t="str">
        <f>IF(OR($C$6="",$J$6="",$L$6=""),"",IF($B68="","",SUBTOTAL(3,$B$11:B68)))</f>
        <v/>
      </c>
      <c r="B68" s="123" t="str">
        <f>IF(OR($C$6="",$J$6="",$L$6=""),"",IF(HKI!$B68="","",HKI!$B68))</f>
        <v/>
      </c>
      <c r="C68" s="124" t="str">
        <f>IF(OR($C$6="",$J$6="",$L$6=""),"",IF(HKI!$C68="","",HKI!$C68))</f>
        <v/>
      </c>
      <c r="D68" s="125" t="str">
        <f>IF(OR($C$6="",$J$6="",$L$6=""),"",IF(HKI!$D68="","",HKI!$D68))</f>
        <v/>
      </c>
      <c r="E68" s="665"/>
      <c r="F68" s="665"/>
      <c r="G68" s="665"/>
      <c r="H68" s="665"/>
      <c r="I68" s="665"/>
      <c r="J68" s="665"/>
      <c r="K68" s="665"/>
      <c r="L68" s="664"/>
      <c r="M68" s="664"/>
      <c r="N68" s="664"/>
      <c r="O68" s="664"/>
    </row>
    <row r="69" spans="1:15" s="188" customFormat="1" ht="18" customHeight="1">
      <c r="A69" s="123" t="str">
        <f>IF(OR($C$6="",$J$6="",$L$6=""),"",IF($B69="","",SUBTOTAL(3,$B$11:B69)))</f>
        <v/>
      </c>
      <c r="B69" s="123" t="str">
        <f>IF(OR($C$6="",$J$6="",$L$6=""),"",IF(HKI!$B69="","",HKI!$B69))</f>
        <v/>
      </c>
      <c r="C69" s="124" t="str">
        <f>IF(OR($C$6="",$J$6="",$L$6=""),"",IF(HKI!$C69="","",HKI!$C69))</f>
        <v/>
      </c>
      <c r="D69" s="125" t="str">
        <f>IF(OR($C$6="",$J$6="",$L$6=""),"",IF(HKI!$D69="","",HKI!$D69))</f>
        <v/>
      </c>
      <c r="E69" s="665"/>
      <c r="F69" s="665"/>
      <c r="G69" s="665"/>
      <c r="H69" s="665"/>
      <c r="I69" s="665"/>
      <c r="J69" s="665"/>
      <c r="K69" s="665"/>
      <c r="L69" s="664"/>
      <c r="M69" s="664"/>
      <c r="N69" s="664"/>
      <c r="O69" s="664"/>
    </row>
    <row r="70" spans="1:15" s="188" customFormat="1" ht="18" customHeight="1">
      <c r="A70" s="123" t="str">
        <f>IF(OR($C$6="",$J$6="",$L$6=""),"",IF($B70="","",SUBTOTAL(3,$B$11:B70)))</f>
        <v/>
      </c>
      <c r="B70" s="123" t="str">
        <f>IF(OR($C$6="",$J$6="",$L$6=""),"",IF(HKI!$B70="","",HKI!$B70))</f>
        <v/>
      </c>
      <c r="C70" s="124" t="str">
        <f>IF(OR($C$6="",$J$6="",$L$6=""),"",IF(HKI!$C70="","",HKI!$C70))</f>
        <v/>
      </c>
      <c r="D70" s="125" t="str">
        <f>IF(OR($C$6="",$J$6="",$L$6=""),"",IF(HKI!$D70="","",HKI!$D70))</f>
        <v/>
      </c>
      <c r="E70" s="665"/>
      <c r="F70" s="665"/>
      <c r="G70" s="665"/>
      <c r="H70" s="665"/>
      <c r="I70" s="665"/>
      <c r="J70" s="665"/>
      <c r="K70" s="665"/>
      <c r="L70" s="664"/>
      <c r="M70" s="664"/>
      <c r="N70" s="664"/>
      <c r="O70" s="664"/>
    </row>
    <row r="71" spans="1:15" s="188" customFormat="1" ht="18" customHeight="1">
      <c r="A71" s="123" t="str">
        <f>IF(OR($C$6="",$J$6="",$L$6=""),"",IF($B71="","",SUBTOTAL(3,$B$11:B71)))</f>
        <v/>
      </c>
      <c r="B71" s="123" t="str">
        <f>IF(OR($C$6="",$J$6="",$L$6=""),"",IF(HKI!$B71="","",HKI!$B71))</f>
        <v/>
      </c>
      <c r="C71" s="124" t="str">
        <f>IF(OR($C$6="",$J$6="",$L$6=""),"",IF(HKI!$C71="","",HKI!$C71))</f>
        <v/>
      </c>
      <c r="D71" s="125" t="str">
        <f>IF(OR($C$6="",$J$6="",$L$6=""),"",IF(HKI!$D71="","",HKI!$D71))</f>
        <v/>
      </c>
      <c r="E71" s="665"/>
      <c r="F71" s="665"/>
      <c r="G71" s="665"/>
      <c r="H71" s="665"/>
      <c r="I71" s="665"/>
      <c r="J71" s="665"/>
      <c r="K71" s="665"/>
      <c r="L71" s="664"/>
      <c r="M71" s="664"/>
      <c r="N71" s="664"/>
      <c r="O71" s="664"/>
    </row>
    <row r="72" spans="1:15" s="188" customFormat="1" ht="18" customHeight="1">
      <c r="A72" s="123" t="str">
        <f>IF(OR($C$6="",$J$6="",$L$6=""),"",IF($B72="","",SUBTOTAL(3,$B$11:B72)))</f>
        <v/>
      </c>
      <c r="B72" s="123" t="str">
        <f>IF(OR($C$6="",$J$6="",$L$6=""),"",IF(HKI!$B72="","",HKI!$B72))</f>
        <v/>
      </c>
      <c r="C72" s="124" t="str">
        <f>IF(OR($C$6="",$J$6="",$L$6=""),"",IF(HKI!$C72="","",HKI!$C72))</f>
        <v/>
      </c>
      <c r="D72" s="125" t="str">
        <f>IF(OR($C$6="",$J$6="",$L$6=""),"",IF(HKI!$D72="","",HKI!$D72))</f>
        <v/>
      </c>
      <c r="E72" s="665"/>
      <c r="F72" s="665"/>
      <c r="G72" s="665"/>
      <c r="H72" s="665"/>
      <c r="I72" s="665"/>
      <c r="J72" s="665"/>
      <c r="K72" s="665"/>
      <c r="L72" s="664"/>
      <c r="M72" s="664"/>
      <c r="N72" s="664"/>
      <c r="O72" s="664"/>
    </row>
    <row r="73" spans="1:15" s="188" customFormat="1" ht="18" customHeight="1">
      <c r="A73" s="123" t="str">
        <f>IF(OR($C$6="",$J$6="",$L$6=""),"",IF($B73="","",SUBTOTAL(3,$B$11:B73)))</f>
        <v/>
      </c>
      <c r="B73" s="123" t="str">
        <f>IF(OR($C$6="",$J$6="",$L$6=""),"",IF(HKI!$B73="","",HKI!$B73))</f>
        <v/>
      </c>
      <c r="C73" s="124" t="str">
        <f>IF(OR($C$6="",$J$6="",$L$6=""),"",IF(HKI!$C73="","",HKI!$C73))</f>
        <v/>
      </c>
      <c r="D73" s="125" t="str">
        <f>IF(OR($C$6="",$J$6="",$L$6=""),"",IF(HKI!$D73="","",HKI!$D73))</f>
        <v/>
      </c>
      <c r="E73" s="665"/>
      <c r="F73" s="665"/>
      <c r="G73" s="665"/>
      <c r="H73" s="665"/>
      <c r="I73" s="665"/>
      <c r="J73" s="665"/>
      <c r="K73" s="665"/>
      <c r="L73" s="664"/>
      <c r="M73" s="664"/>
      <c r="N73" s="664"/>
      <c r="O73" s="664"/>
    </row>
    <row r="74" spans="1:15" s="188" customFormat="1" ht="18" customHeight="1">
      <c r="A74" s="123" t="str">
        <f>IF(OR($C$6="",$J$6="",$L$6=""),"",IF($B74="","",SUBTOTAL(3,$B$11:B74)))</f>
        <v/>
      </c>
      <c r="B74" s="123" t="str">
        <f>IF(OR($C$6="",$J$6="",$L$6=""),"",IF(HKI!$B74="","",HKI!$B74))</f>
        <v/>
      </c>
      <c r="C74" s="124" t="str">
        <f>IF(OR($C$6="",$J$6="",$L$6=""),"",IF(HKI!$C74="","",HKI!$C74))</f>
        <v/>
      </c>
      <c r="D74" s="125" t="str">
        <f>IF(OR($C$6="",$J$6="",$L$6=""),"",IF(HKI!$D74="","",HKI!$D74))</f>
        <v/>
      </c>
      <c r="E74" s="665"/>
      <c r="F74" s="665"/>
      <c r="G74" s="665"/>
      <c r="H74" s="665"/>
      <c r="I74" s="665"/>
      <c r="J74" s="665"/>
      <c r="K74" s="665"/>
      <c r="L74" s="664"/>
      <c r="M74" s="664"/>
      <c r="N74" s="664"/>
      <c r="O74" s="664"/>
    </row>
    <row r="75" spans="1:15" s="188" customFormat="1" ht="18" customHeight="1">
      <c r="A75" s="123" t="str">
        <f>IF(OR($C$6="",$J$6="",$L$6=""),"",IF($B75="","",SUBTOTAL(3,$B$11:B75)))</f>
        <v/>
      </c>
      <c r="B75" s="123" t="str">
        <f>IF(OR($C$6="",$J$6="",$L$6=""),"",IF(HKI!$B75="","",HKI!$B75))</f>
        <v/>
      </c>
      <c r="C75" s="124" t="str">
        <f>IF(OR($C$6="",$J$6="",$L$6=""),"",IF(HKI!$C75="","",HKI!$C75))</f>
        <v/>
      </c>
      <c r="D75" s="125" t="str">
        <f>IF(OR($C$6="",$J$6="",$L$6=""),"",IF(HKI!$D75="","",HKI!$D75))</f>
        <v/>
      </c>
      <c r="E75" s="665"/>
      <c r="F75" s="665"/>
      <c r="G75" s="665"/>
      <c r="H75" s="665"/>
      <c r="I75" s="665"/>
      <c r="J75" s="665"/>
      <c r="K75" s="665"/>
      <c r="L75" s="193"/>
      <c r="M75" s="194" t="str">
        <f t="shared" ref="M75:M80" si="0">IF($B75="","",IF($L75="","KXL",IF($L75&lt;4,"Kém",IF($L75&lt;5.5,"TB Yếu",IF($L75&lt;7,"T.Bình",IF($L75&lt;8.5,"Khá","Giỏi"))))))</f>
        <v/>
      </c>
      <c r="N75" s="664" t="s">
        <v>1134</v>
      </c>
      <c r="O75" s="664"/>
    </row>
    <row r="76" spans="1:15" s="188" customFormat="1" ht="18" customHeight="1">
      <c r="A76" s="123" t="str">
        <f>IF(OR($C$6="",$J$6="",$L$6=""),"",IF($B76="","",SUBTOTAL(3,$B$11:B76)))</f>
        <v/>
      </c>
      <c r="B76" s="123" t="str">
        <f>IF(OR($C$6="",$J$6="",$L$6=""),"",IF(HKI!$B76="","",HKI!$B76))</f>
        <v/>
      </c>
      <c r="C76" s="124" t="str">
        <f>IF(OR($C$6="",$J$6="",$L$6=""),"",IF(HKI!$C76="","",HKI!$C76))</f>
        <v/>
      </c>
      <c r="D76" s="125" t="str">
        <f>IF(OR($C$6="",$J$6="",$L$6=""),"",IF(HKI!$D76="","",HKI!$D76))</f>
        <v/>
      </c>
      <c r="E76" s="665"/>
      <c r="F76" s="665"/>
      <c r="G76" s="665"/>
      <c r="H76" s="665"/>
      <c r="I76" s="665"/>
      <c r="J76" s="665"/>
      <c r="K76" s="665"/>
      <c r="L76" s="193"/>
      <c r="M76" s="194" t="str">
        <f t="shared" si="0"/>
        <v/>
      </c>
      <c r="N76" s="664" t="s">
        <v>1134</v>
      </c>
      <c r="O76" s="664"/>
    </row>
    <row r="77" spans="1:15" s="188" customFormat="1" ht="18" customHeight="1">
      <c r="A77" s="123" t="str">
        <f>IF(OR($C$6="",$J$6="",$L$6=""),"",IF($B77="","",SUBTOTAL(3,$B$11:B77)))</f>
        <v/>
      </c>
      <c r="B77" s="123" t="str">
        <f>IF(OR($C$6="",$J$6="",$L$6=""),"",IF(HKI!$B77="","",HKI!$B77))</f>
        <v/>
      </c>
      <c r="C77" s="124" t="str">
        <f>IF(OR($C$6="",$J$6="",$L$6=""),"",IF(HKI!$C77="","",HKI!$C77))</f>
        <v/>
      </c>
      <c r="D77" s="125" t="str">
        <f>IF(OR($C$6="",$J$6="",$L$6=""),"",IF(HKI!$D77="","",HKI!$D77))</f>
        <v/>
      </c>
      <c r="E77" s="665"/>
      <c r="F77" s="665"/>
      <c r="G77" s="665"/>
      <c r="H77" s="665"/>
      <c r="I77" s="665"/>
      <c r="J77" s="665"/>
      <c r="K77" s="665"/>
      <c r="L77" s="193"/>
      <c r="M77" s="194" t="str">
        <f t="shared" si="0"/>
        <v/>
      </c>
      <c r="N77" s="664" t="s">
        <v>1134</v>
      </c>
      <c r="O77" s="664"/>
    </row>
    <row r="78" spans="1:15" s="188" customFormat="1" ht="18" customHeight="1">
      <c r="A78" s="123" t="str">
        <f>IF(OR($C$6="",$J$6="",$L$6=""),"",IF($B78="","",SUBTOTAL(3,$B$11:B78)))</f>
        <v/>
      </c>
      <c r="B78" s="123" t="str">
        <f>IF(OR($C$6="",$J$6="",$L$6=""),"",IF(HKI!$B78="","",HKI!$B78))</f>
        <v/>
      </c>
      <c r="C78" s="124" t="str">
        <f>IF(OR($C$6="",$J$6="",$L$6=""),"",IF(HKI!$C78="","",HKI!$C78))</f>
        <v/>
      </c>
      <c r="D78" s="125" t="str">
        <f>IF(OR($C$6="",$J$6="",$L$6=""),"",IF(HKI!$D78="","",HKI!$D78))</f>
        <v/>
      </c>
      <c r="E78" s="665"/>
      <c r="F78" s="665"/>
      <c r="G78" s="665"/>
      <c r="H78" s="665"/>
      <c r="I78" s="665"/>
      <c r="J78" s="665"/>
      <c r="K78" s="665"/>
      <c r="L78" s="193"/>
      <c r="M78" s="194" t="str">
        <f t="shared" si="0"/>
        <v/>
      </c>
      <c r="N78" s="664" t="s">
        <v>1134</v>
      </c>
      <c r="O78" s="664"/>
    </row>
    <row r="79" spans="1:15" s="188" customFormat="1" ht="18" customHeight="1">
      <c r="A79" s="123" t="str">
        <f>IF(OR($C$6="",$J$6="",$L$6=""),"",IF($B79="","",SUBTOTAL(3,$B$11:B79)))</f>
        <v/>
      </c>
      <c r="B79" s="123" t="str">
        <f>IF(OR($C$6="",$J$6="",$L$6=""),"",IF(HKI!$B79="","",HKI!$B79))</f>
        <v/>
      </c>
      <c r="C79" s="124" t="str">
        <f>IF(OR($C$6="",$J$6="",$L$6=""),"",IF(HKI!$C79="","",HKI!$C79))</f>
        <v/>
      </c>
      <c r="D79" s="125" t="str">
        <f>IF(OR($C$6="",$J$6="",$L$6=""),"",IF(HKI!$D79="","",HKI!$D79))</f>
        <v/>
      </c>
      <c r="E79" s="665"/>
      <c r="F79" s="665"/>
      <c r="G79" s="665"/>
      <c r="H79" s="665"/>
      <c r="I79" s="665"/>
      <c r="J79" s="665"/>
      <c r="K79" s="665"/>
      <c r="L79" s="193"/>
      <c r="M79" s="194" t="str">
        <f t="shared" si="0"/>
        <v/>
      </c>
      <c r="N79" s="664" t="s">
        <v>1134</v>
      </c>
      <c r="O79" s="664"/>
    </row>
    <row r="80" spans="1:15" s="188" customFormat="1" ht="18" customHeight="1">
      <c r="A80" s="123" t="str">
        <f>IF(OR($C$6="",$J$6="",$L$6=""),"",IF($B80="","",SUBTOTAL(3,$B$11:B80)))</f>
        <v/>
      </c>
      <c r="B80" s="123" t="str">
        <f>IF(OR($C$6="",$J$6="",$L$6=""),"",IF(HKI!$B80="","",HKI!$B80))</f>
        <v/>
      </c>
      <c r="C80" s="124" t="str">
        <f>IF(OR($C$6="",$J$6="",$L$6=""),"",IF(HKI!$C80="","",HKI!$C80))</f>
        <v/>
      </c>
      <c r="D80" s="125" t="str">
        <f>IF(OR($C$6="",$J$6="",$L$6=""),"",IF(HKI!$D80="","",HKI!$D80))</f>
        <v/>
      </c>
      <c r="E80" s="665"/>
      <c r="F80" s="665"/>
      <c r="G80" s="665"/>
      <c r="H80" s="665"/>
      <c r="I80" s="665"/>
      <c r="J80" s="665"/>
      <c r="K80" s="665"/>
      <c r="L80" s="193"/>
      <c r="M80" s="194" t="str">
        <f t="shared" si="0"/>
        <v/>
      </c>
      <c r="N80" s="664" t="s">
        <v>1134</v>
      </c>
      <c r="O80" s="664"/>
    </row>
    <row r="81" spans="1:16" s="146" customFormat="1" ht="17.25" customHeight="1">
      <c r="A81" s="653" t="s">
        <v>1459</v>
      </c>
      <c r="B81" s="653"/>
      <c r="C81" s="653"/>
      <c r="D81" s="653"/>
      <c r="E81" s="653"/>
      <c r="F81" s="653"/>
      <c r="G81" s="653"/>
      <c r="H81" s="653"/>
      <c r="I81" s="653"/>
      <c r="J81" s="653"/>
      <c r="K81" s="653"/>
      <c r="L81" s="653"/>
      <c r="M81" s="653"/>
      <c r="N81" s="163"/>
      <c r="O81" s="56"/>
      <c r="P81" s="56"/>
    </row>
    <row r="82" spans="1:16" s="146" customFormat="1" ht="14.1" customHeight="1">
      <c r="A82" s="136"/>
      <c r="B82" s="651" t="str">
        <f>"Tổng danh sách có"</f>
        <v>Tổng danh sách có</v>
      </c>
      <c r="C82" s="651"/>
      <c r="D82" s="651"/>
      <c r="E82" s="651"/>
      <c r="F82" s="176" t="str">
        <f>": "&amp;MAX($A$11:$A$80)&amp;" SV"</f>
        <v>: 0 SV</v>
      </c>
      <c r="K82" s="147"/>
      <c r="L82" s="147"/>
      <c r="M82" s="147"/>
      <c r="N82" s="147"/>
      <c r="O82" s="136"/>
    </row>
    <row r="83" spans="1:16" s="146" customFormat="1" ht="14.1" customHeight="1">
      <c r="A83" s="148"/>
      <c r="B83" s="643" t="str">
        <f>"Tổng số SV có điểm Giỏi từ 8,5 đ đến 10 đ"</f>
        <v>Tổng số SV có điểm Giỏi từ 8,5 đ đến 10 đ</v>
      </c>
      <c r="C83" s="643"/>
      <c r="D83" s="643"/>
      <c r="E83" s="643"/>
      <c r="F83" s="153" t="str">
        <f>": "&amp;COUNTIF($M$11:$M$80,"Giỏi")&amp;" SV"</f>
        <v>: 0 SV</v>
      </c>
      <c r="H83" s="153" t="str">
        <f>IF(B21="","","("&amp;ROUND(COUNTIF($O$11:$O$80,"Giỏi")*100/MAX($A$11:$A$78),2)&amp;"%" &amp;")")</f>
        <v/>
      </c>
      <c r="I83" s="153"/>
      <c r="J83" s="153"/>
      <c r="K83" s="645" t="str">
        <f>IF(B11="","","Tổng số SV có điểm &gt;= 4 đ : "&amp;COUNTIF($L$11:$L$80,"&gt;=4")&amp;" SV"&amp;" ("&amp;ROUND(COUNTIF($L$11:$L$80,"&gt;=4")*100/MAX($A$11:$A$80),2)&amp;"%" &amp;")")</f>
        <v/>
      </c>
      <c r="L83" s="645"/>
      <c r="M83" s="645"/>
      <c r="N83" s="645"/>
      <c r="O83" s="13"/>
    </row>
    <row r="84" spans="1:16" s="146" customFormat="1" ht="14.1" customHeight="1">
      <c r="A84" s="148"/>
      <c r="B84" s="643" t="str">
        <f>"Tổng số SV có điểm Khá từ 7 đ đến &lt;8,5 đ"</f>
        <v>Tổng số SV có điểm Khá từ 7 đ đến &lt;8,5 đ</v>
      </c>
      <c r="C84" s="643"/>
      <c r="D84" s="643"/>
      <c r="E84" s="643"/>
      <c r="F84" s="153" t="str">
        <f>": "&amp;COUNTIF($M$11:$M$80,"Khá")&amp;" SV"</f>
        <v>: 0 SV</v>
      </c>
      <c r="H84" s="153" t="str">
        <f>IF(B21="","","("&amp;ROUND(COUNTIF($O$11:$O$80,"Khá")*100/MAX($A$11:$A$78),2)&amp;"%" &amp;")")</f>
        <v/>
      </c>
      <c r="I84" s="153"/>
      <c r="J84" s="153"/>
      <c r="K84" s="645"/>
      <c r="L84" s="645"/>
      <c r="M84" s="645"/>
      <c r="N84" s="645"/>
      <c r="O84" s="13"/>
    </row>
    <row r="85" spans="1:16" s="146" customFormat="1" ht="14.1" customHeight="1">
      <c r="A85" s="148"/>
      <c r="B85" s="643" t="str">
        <f>"Tổng số SV có điểm Trung bình từ 5,5 đ đến &lt;7 đ"</f>
        <v>Tổng số SV có điểm Trung bình từ 5,5 đ đến &lt;7 đ</v>
      </c>
      <c r="C85" s="643"/>
      <c r="D85" s="643"/>
      <c r="E85" s="643"/>
      <c r="F85" s="153" t="str">
        <f>": "&amp;COUNTIF($M$11:$M$80,"T.Bình")&amp;" SV"</f>
        <v>: 0 SV</v>
      </c>
      <c r="H85" s="153" t="str">
        <f>IF(B21="","","("&amp;ROUND(COUNTIF($O$11:$O$80,"TB")*100/MAX($A$11:$A$78),2)&amp;"%" &amp;")")</f>
        <v/>
      </c>
      <c r="I85" s="153"/>
      <c r="J85" s="153"/>
      <c r="K85" s="645"/>
      <c r="L85" s="645"/>
      <c r="M85" s="645"/>
      <c r="N85" s="645"/>
      <c r="O85" s="13"/>
    </row>
    <row r="86" spans="1:16" s="146" customFormat="1" ht="14.1" customHeight="1">
      <c r="A86" s="148"/>
      <c r="B86" s="643" t="str">
        <f>"Tổng số SV có điểm Trung bình yếu từ 4 đ đến &lt;5,5 đ"</f>
        <v>Tổng số SV có điểm Trung bình yếu từ 4 đ đến &lt;5,5 đ</v>
      </c>
      <c r="C86" s="643"/>
      <c r="D86" s="643"/>
      <c r="E86" s="643"/>
      <c r="F86" s="153" t="str">
        <f>": "&amp;COUNTIF($M$11:$M$80,"TB Yếu")&amp;" SV"</f>
        <v>: 0 SV</v>
      </c>
      <c r="H86" s="153" t="str">
        <f>IF(B21="","","("&amp;ROUND(COUNTIF($O$11:$O$80,"TBY")*100/MAX($A$11:$A$78),2)&amp;"%" &amp;")")</f>
        <v/>
      </c>
      <c r="I86" s="153"/>
      <c r="J86" s="153"/>
      <c r="K86" s="644" t="str">
        <f>IF(B11="","","Tổng số SV có điểm &lt; 4 đ : "&amp;COUNTIF($L$11:$L$80,"&lt;4")&amp;" SV"&amp;" ("&amp;ROUND(COUNTIF($L$11:$L$80,"&lt;4")*100/MAX($A$11:$A$80),2)&amp;"%" &amp;")")</f>
        <v/>
      </c>
      <c r="L86" s="644"/>
      <c r="M86" s="644"/>
      <c r="N86" s="644"/>
      <c r="O86" s="28"/>
    </row>
    <row r="87" spans="1:16" s="146" customFormat="1" ht="14.1" customHeight="1">
      <c r="A87" s="148"/>
      <c r="B87" s="643" t="str">
        <f>"Tổng số SV có điểm kém &lt;4 đ"</f>
        <v>Tổng số SV có điểm kém &lt;4 đ</v>
      </c>
      <c r="C87" s="643"/>
      <c r="D87" s="643"/>
      <c r="E87" s="643"/>
      <c r="F87" s="153" t="str">
        <f>": "&amp;COUNTIF($M$11:$M$80,"Kém")&amp;" SV"</f>
        <v>: 0 SV</v>
      </c>
      <c r="H87" s="153" t="str">
        <f>IF(B21="","","("&amp;ROUND(COUNTIF($O$11:$O$80,"Kém")*100/MAX($A$11:$A$78),2)&amp;"%"&amp;")")</f>
        <v/>
      </c>
      <c r="I87" s="153"/>
      <c r="J87" s="153"/>
      <c r="K87" s="644"/>
      <c r="L87" s="644"/>
      <c r="M87" s="644"/>
      <c r="N87" s="644"/>
      <c r="O87" s="28"/>
    </row>
    <row r="88" spans="1:16" s="146" customFormat="1" ht="14.1" customHeight="1">
      <c r="A88" s="148"/>
      <c r="B88" s="643" t="str">
        <f>"Tổng số SV không xếp loại vì chưa đủ điều kiện"</f>
        <v>Tổng số SV không xếp loại vì chưa đủ điều kiện</v>
      </c>
      <c r="C88" s="643"/>
      <c r="D88" s="643"/>
      <c r="E88" s="643"/>
      <c r="F88" s="153" t="str">
        <f>": "&amp;COUNTIF($M$11:$M$80,"KXL")&amp;" SV"</f>
        <v>: 0 SV</v>
      </c>
      <c r="H88" s="153" t="str">
        <f>IF(B21="","","("&amp;ROUND(COUNTIF($O$11:$O$80,"KXL")*100/MAX($A$11:$A$78),2)&amp;"%"&amp;")")</f>
        <v/>
      </c>
      <c r="I88" s="153"/>
      <c r="J88" s="153"/>
      <c r="K88" s="644"/>
      <c r="L88" s="644"/>
      <c r="M88" s="644"/>
      <c r="N88" s="644"/>
      <c r="O88" s="28"/>
    </row>
    <row r="89" spans="1:16" s="136" customFormat="1">
      <c r="B89" s="149"/>
      <c r="C89" s="149"/>
      <c r="D89" s="149"/>
      <c r="E89" s="149"/>
      <c r="F89" s="149"/>
      <c r="G89" s="149"/>
      <c r="H89" s="149"/>
      <c r="I89" s="149"/>
      <c r="J89" s="149"/>
      <c r="K89" s="149"/>
      <c r="L89" s="149"/>
      <c r="M89" s="149"/>
      <c r="N89" s="149"/>
    </row>
    <row r="90" spans="1:16" s="136" customFormat="1" ht="15.75" customHeight="1">
      <c r="A90" s="636" t="s">
        <v>190</v>
      </c>
      <c r="B90" s="636"/>
      <c r="C90" s="636"/>
      <c r="D90" s="636" t="s">
        <v>256</v>
      </c>
      <c r="E90" s="636"/>
      <c r="F90" s="636"/>
      <c r="G90" s="636"/>
      <c r="H90" s="138"/>
      <c r="I90" s="138"/>
      <c r="J90" s="636" t="s">
        <v>257</v>
      </c>
      <c r="K90" s="636"/>
      <c r="L90" s="636"/>
      <c r="M90" s="636"/>
      <c r="N90" s="636"/>
      <c r="O90" s="636"/>
    </row>
    <row r="91" spans="1:16">
      <c r="A91" s="670"/>
      <c r="B91" s="670"/>
      <c r="C91" s="670"/>
      <c r="D91" s="128"/>
      <c r="F91" s="128"/>
      <c r="G91" s="128"/>
      <c r="H91" s="128"/>
      <c r="I91" s="671"/>
      <c r="J91" s="671"/>
      <c r="K91" s="671"/>
      <c r="L91" s="671"/>
      <c r="M91" s="129"/>
    </row>
  </sheetData>
  <sheetProtection sheet="1" formatCells="0" formatColumns="0" formatRows="0" autoFilter="0"/>
  <mergeCells count="237">
    <mergeCell ref="L64:M64"/>
    <mergeCell ref="L65:M65"/>
    <mergeCell ref="L66:M66"/>
    <mergeCell ref="L73:M73"/>
    <mergeCell ref="L74:M74"/>
    <mergeCell ref="L67:M67"/>
    <mergeCell ref="L68:M68"/>
    <mergeCell ref="L69:M69"/>
    <mergeCell ref="L70:M70"/>
    <mergeCell ref="L71:M71"/>
    <mergeCell ref="L72:M72"/>
    <mergeCell ref="L52:M52"/>
    <mergeCell ref="L53:M53"/>
    <mergeCell ref="L54:M54"/>
    <mergeCell ref="L55:M55"/>
    <mergeCell ref="L56:M56"/>
    <mergeCell ref="L60:M60"/>
    <mergeCell ref="L61:M61"/>
    <mergeCell ref="L62:M62"/>
    <mergeCell ref="L63:M63"/>
    <mergeCell ref="E52:K52"/>
    <mergeCell ref="N59:O59"/>
    <mergeCell ref="N55:O55"/>
    <mergeCell ref="A2:F2"/>
    <mergeCell ref="G1:O1"/>
    <mergeCell ref="G2:O2"/>
    <mergeCell ref="L11:M11"/>
    <mergeCell ref="L12:M12"/>
    <mergeCell ref="L13:M13"/>
    <mergeCell ref="A1:F1"/>
    <mergeCell ref="A3:F3"/>
    <mergeCell ref="A4:O4"/>
    <mergeCell ref="C6:G6"/>
    <mergeCell ref="H6:I6"/>
    <mergeCell ref="N13:O13"/>
    <mergeCell ref="E13:K13"/>
    <mergeCell ref="N8:O10"/>
    <mergeCell ref="L26:M26"/>
    <mergeCell ref="L27:M27"/>
    <mergeCell ref="L28:M28"/>
    <mergeCell ref="L29:M29"/>
    <mergeCell ref="L30:M30"/>
    <mergeCell ref="L31:M31"/>
    <mergeCell ref="L32:M32"/>
    <mergeCell ref="N62:O62"/>
    <mergeCell ref="N49:O49"/>
    <mergeCell ref="N68:O68"/>
    <mergeCell ref="N54:O54"/>
    <mergeCell ref="N60:O60"/>
    <mergeCell ref="N66:O66"/>
    <mergeCell ref="N39:O39"/>
    <mergeCell ref="N69:O69"/>
    <mergeCell ref="N57:O57"/>
    <mergeCell ref="N51:O51"/>
    <mergeCell ref="N52:O52"/>
    <mergeCell ref="N53:O53"/>
    <mergeCell ref="N64:O64"/>
    <mergeCell ref="N61:O61"/>
    <mergeCell ref="N63:O63"/>
    <mergeCell ref="N65:O65"/>
    <mergeCell ref="N56:O56"/>
    <mergeCell ref="N26:O26"/>
    <mergeCell ref="N29:O29"/>
    <mergeCell ref="N27:O27"/>
    <mergeCell ref="N28:O28"/>
    <mergeCell ref="N20:O20"/>
    <mergeCell ref="N21:O21"/>
    <mergeCell ref="N22:O22"/>
    <mergeCell ref="N23:O23"/>
    <mergeCell ref="N24:O24"/>
    <mergeCell ref="N25:O25"/>
    <mergeCell ref="E32:K32"/>
    <mergeCell ref="E33:K33"/>
    <mergeCell ref="E34:K34"/>
    <mergeCell ref="E35:K35"/>
    <mergeCell ref="E36:K36"/>
    <mergeCell ref="E37:K37"/>
    <mergeCell ref="E38:K38"/>
    <mergeCell ref="N80:O80"/>
    <mergeCell ref="N70:O70"/>
    <mergeCell ref="N71:O71"/>
    <mergeCell ref="N77:O77"/>
    <mergeCell ref="N76:O76"/>
    <mergeCell ref="N73:O73"/>
    <mergeCell ref="N72:O72"/>
    <mergeCell ref="N78:O78"/>
    <mergeCell ref="N79:O79"/>
    <mergeCell ref="N33:O33"/>
    <mergeCell ref="N34:O34"/>
    <mergeCell ref="N35:O35"/>
    <mergeCell ref="N48:O48"/>
    <mergeCell ref="N38:O38"/>
    <mergeCell ref="N40:O40"/>
    <mergeCell ref="N41:O41"/>
    <mergeCell ref="N67:O67"/>
    <mergeCell ref="N58:O58"/>
    <mergeCell ref="L57:M57"/>
    <mergeCell ref="L58:M58"/>
    <mergeCell ref="L59:M59"/>
    <mergeCell ref="N32:O32"/>
    <mergeCell ref="L42:M42"/>
    <mergeCell ref="N44:O44"/>
    <mergeCell ref="N42:O42"/>
    <mergeCell ref="N43:O43"/>
    <mergeCell ref="L33:M33"/>
    <mergeCell ref="L34:M34"/>
    <mergeCell ref="L35:M35"/>
    <mergeCell ref="L36:M36"/>
    <mergeCell ref="L37:M37"/>
    <mergeCell ref="L38:M38"/>
    <mergeCell ref="L39:M39"/>
    <mergeCell ref="L43:M43"/>
    <mergeCell ref="L44:M44"/>
    <mergeCell ref="L45:M45"/>
    <mergeCell ref="L46:M46"/>
    <mergeCell ref="L47:M47"/>
    <mergeCell ref="L48:M48"/>
    <mergeCell ref="L50:M50"/>
    <mergeCell ref="L51:M51"/>
    <mergeCell ref="N36:O36"/>
    <mergeCell ref="N37:O37"/>
    <mergeCell ref="E39:K39"/>
    <mergeCell ref="E40:K40"/>
    <mergeCell ref="E60:K60"/>
    <mergeCell ref="E61:K61"/>
    <mergeCell ref="E66:K66"/>
    <mergeCell ref="E65:K65"/>
    <mergeCell ref="E64:K64"/>
    <mergeCell ref="E53:K53"/>
    <mergeCell ref="E54:K54"/>
    <mergeCell ref="N50:O50"/>
    <mergeCell ref="N47:O47"/>
    <mergeCell ref="N45:O45"/>
    <mergeCell ref="E47:K47"/>
    <mergeCell ref="E48:K48"/>
    <mergeCell ref="E49:K49"/>
    <mergeCell ref="N46:O46"/>
    <mergeCell ref="E43:K43"/>
    <mergeCell ref="E44:K44"/>
    <mergeCell ref="L40:M40"/>
    <mergeCell ref="L41:M41"/>
    <mergeCell ref="E55:K55"/>
    <mergeCell ref="E57:K57"/>
    <mergeCell ref="A91:C91"/>
    <mergeCell ref="I91:L91"/>
    <mergeCell ref="E46:K46"/>
    <mergeCell ref="E41:K41"/>
    <mergeCell ref="E42:K42"/>
    <mergeCell ref="B83:E83"/>
    <mergeCell ref="E62:K62"/>
    <mergeCell ref="E63:K63"/>
    <mergeCell ref="E45:K45"/>
    <mergeCell ref="E69:K69"/>
    <mergeCell ref="E76:K76"/>
    <mergeCell ref="E77:K77"/>
    <mergeCell ref="E71:K71"/>
    <mergeCell ref="E72:K72"/>
    <mergeCell ref="E73:K73"/>
    <mergeCell ref="E50:K50"/>
    <mergeCell ref="L49:M49"/>
    <mergeCell ref="E67:K67"/>
    <mergeCell ref="E68:K68"/>
    <mergeCell ref="E58:K58"/>
    <mergeCell ref="E56:K56"/>
    <mergeCell ref="E70:K70"/>
    <mergeCell ref="E59:K59"/>
    <mergeCell ref="E51:K51"/>
    <mergeCell ref="N30:O30"/>
    <mergeCell ref="N31:O31"/>
    <mergeCell ref="L23:M23"/>
    <mergeCell ref="L24:M24"/>
    <mergeCell ref="L25:M25"/>
    <mergeCell ref="E17:K17"/>
    <mergeCell ref="E18:K18"/>
    <mergeCell ref="N15:O15"/>
    <mergeCell ref="N16:O16"/>
    <mergeCell ref="N17:O17"/>
    <mergeCell ref="N18:O18"/>
    <mergeCell ref="N19:O19"/>
    <mergeCell ref="E24:K24"/>
    <mergeCell ref="E25:K25"/>
    <mergeCell ref="E26:K26"/>
    <mergeCell ref="E27:K27"/>
    <mergeCell ref="E28:K28"/>
    <mergeCell ref="E29:K29"/>
    <mergeCell ref="E31:K31"/>
    <mergeCell ref="E15:K15"/>
    <mergeCell ref="E16:K16"/>
    <mergeCell ref="E30:K30"/>
    <mergeCell ref="L16:M16"/>
    <mergeCell ref="L17:M17"/>
    <mergeCell ref="L14:M14"/>
    <mergeCell ref="L15:M15"/>
    <mergeCell ref="A6:B6"/>
    <mergeCell ref="E23:K23"/>
    <mergeCell ref="E20:K20"/>
    <mergeCell ref="E21:K21"/>
    <mergeCell ref="E22:K22"/>
    <mergeCell ref="E12:K12"/>
    <mergeCell ref="F7:K7"/>
    <mergeCell ref="A8:A10"/>
    <mergeCell ref="B8:B10"/>
    <mergeCell ref="C8:D10"/>
    <mergeCell ref="E19:K19"/>
    <mergeCell ref="E11:K11"/>
    <mergeCell ref="L8:L10"/>
    <mergeCell ref="E8:K10"/>
    <mergeCell ref="E14:K14"/>
    <mergeCell ref="L18:M18"/>
    <mergeCell ref="L19:M19"/>
    <mergeCell ref="L20:M20"/>
    <mergeCell ref="L21:M21"/>
    <mergeCell ref="L22:M22"/>
    <mergeCell ref="N14:O14"/>
    <mergeCell ref="N11:O11"/>
    <mergeCell ref="N12:O12"/>
    <mergeCell ref="A90:C90"/>
    <mergeCell ref="D90:G90"/>
    <mergeCell ref="J90:O90"/>
    <mergeCell ref="L6:O6"/>
    <mergeCell ref="B86:E86"/>
    <mergeCell ref="K86:N88"/>
    <mergeCell ref="B87:E87"/>
    <mergeCell ref="B88:E88"/>
    <mergeCell ref="A81:M81"/>
    <mergeCell ref="B82:E82"/>
    <mergeCell ref="K83:N85"/>
    <mergeCell ref="B84:E84"/>
    <mergeCell ref="B85:E85"/>
    <mergeCell ref="E74:K74"/>
    <mergeCell ref="N74:O74"/>
    <mergeCell ref="E75:K75"/>
    <mergeCell ref="N75:O75"/>
    <mergeCell ref="E79:K79"/>
    <mergeCell ref="E78:K78"/>
    <mergeCell ref="E80:K80"/>
    <mergeCell ref="M8:M10"/>
  </mergeCells>
  <phoneticPr fontId="64" type="noConversion"/>
  <conditionalFormatting sqref="L75:L80">
    <cfRule type="cellIs" priority="1" stopIfTrue="1" operator="lessThan">
      <formula>4</formula>
    </cfRule>
  </conditionalFormatting>
  <printOptions horizontalCentered="1"/>
  <pageMargins left="0.25" right="0.25" top="0.25" bottom="0.25" header="0.25" footer="0.25"/>
  <pageSetup paperSize="9" scale="90"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1"/>
  <sheetViews>
    <sheetView workbookViewId="0">
      <selection activeCell="L11" sqref="L11"/>
    </sheetView>
  </sheetViews>
  <sheetFormatPr defaultRowHeight="15.75"/>
  <cols>
    <col min="1" max="1" width="4.28515625" style="120" customWidth="1"/>
    <col min="2" max="2" width="13.7109375" style="120" customWidth="1"/>
    <col min="3" max="3" width="22.7109375" style="120" customWidth="1"/>
    <col min="4" max="4" width="8.7109375" style="120" customWidth="1"/>
    <col min="5" max="9" width="6.85546875" style="120" customWidth="1"/>
    <col min="10" max="10" width="5.7109375" style="120" customWidth="1"/>
    <col min="11" max="11" width="5.42578125" style="120" customWidth="1"/>
    <col min="12" max="12" width="6" style="120" bestFit="1" customWidth="1"/>
    <col min="13" max="13" width="8.28515625" style="120" hidden="1" customWidth="1"/>
    <col min="14" max="14" width="4.5703125" style="120" customWidth="1"/>
    <col min="15" max="15" width="6" style="122" bestFit="1" customWidth="1"/>
    <col min="16" max="16384" width="9.140625" style="118"/>
  </cols>
  <sheetData>
    <row r="1" spans="1:15" s="136" customFormat="1">
      <c r="A1" s="633" t="s">
        <v>2695</v>
      </c>
      <c r="B1" s="633"/>
      <c r="C1" s="633"/>
      <c r="D1" s="633"/>
      <c r="E1" s="633"/>
      <c r="F1" s="633"/>
      <c r="G1" s="632" t="s">
        <v>249</v>
      </c>
      <c r="H1" s="632"/>
      <c r="I1" s="632"/>
      <c r="J1" s="632"/>
      <c r="K1" s="632"/>
      <c r="L1" s="632"/>
      <c r="M1" s="632"/>
      <c r="N1" s="632"/>
      <c r="O1" s="632"/>
    </row>
    <row r="2" spans="1:15" s="136" customFormat="1" ht="29.25" customHeight="1">
      <c r="A2" s="631" t="s">
        <v>2687</v>
      </c>
      <c r="B2" s="632"/>
      <c r="C2" s="632"/>
      <c r="D2" s="632"/>
      <c r="E2" s="632"/>
      <c r="F2" s="632"/>
      <c r="G2" s="638" t="s">
        <v>250</v>
      </c>
      <c r="H2" s="638"/>
      <c r="I2" s="638"/>
      <c r="J2" s="638"/>
      <c r="K2" s="638"/>
      <c r="L2" s="638"/>
      <c r="M2" s="638"/>
      <c r="N2" s="638"/>
      <c r="O2" s="638"/>
    </row>
    <row r="3" spans="1:15" s="136" customFormat="1" ht="19.5" customHeight="1">
      <c r="A3" s="633"/>
      <c r="B3" s="633"/>
      <c r="C3" s="633"/>
      <c r="D3" s="633"/>
      <c r="E3" s="633"/>
      <c r="F3" s="633"/>
      <c r="I3" s="195"/>
      <c r="J3" s="147"/>
      <c r="K3" s="147"/>
      <c r="L3" s="147"/>
      <c r="M3" s="147"/>
      <c r="N3" s="147"/>
      <c r="O3" s="147"/>
    </row>
    <row r="4" spans="1:15" s="188" customFormat="1" ht="21" customHeight="1">
      <c r="A4" s="672" t="s">
        <v>1454</v>
      </c>
      <c r="B4" s="672"/>
      <c r="C4" s="672"/>
      <c r="D4" s="672"/>
      <c r="E4" s="672"/>
      <c r="F4" s="672"/>
      <c r="G4" s="672"/>
      <c r="H4" s="672"/>
      <c r="I4" s="672"/>
      <c r="J4" s="672"/>
      <c r="K4" s="672"/>
      <c r="L4" s="672"/>
      <c r="M4" s="672"/>
      <c r="N4" s="672"/>
      <c r="O4" s="672"/>
    </row>
    <row r="5" spans="1:15" s="188" customFormat="1" ht="9" customHeight="1">
      <c r="A5" s="187"/>
      <c r="B5" s="187"/>
      <c r="C5" s="187"/>
      <c r="D5" s="187"/>
      <c r="E5" s="187"/>
      <c r="F5" s="187"/>
      <c r="G5" s="187"/>
      <c r="H5" s="187"/>
      <c r="I5" s="187"/>
      <c r="J5" s="187"/>
      <c r="K5" s="187"/>
      <c r="L5" s="187"/>
      <c r="M5" s="187"/>
      <c r="N5" s="187"/>
      <c r="O5" s="187"/>
    </row>
    <row r="6" spans="1:15" s="188" customFormat="1" ht="18" customHeight="1">
      <c r="A6" s="667" t="s">
        <v>252</v>
      </c>
      <c r="B6" s="667"/>
      <c r="C6" s="637" t="str">
        <f>IF($L$6="","",IF(VLOOKUP($L$6,'LOP-MON'!$B$2:$N$43,10,FALSE)=0,"",VLOOKUP($L$6,'LOP-MON'!$B$2:$N$43,10,FALSE)))</f>
        <v/>
      </c>
      <c r="D6" s="637"/>
      <c r="E6" s="637"/>
      <c r="F6" s="637"/>
      <c r="G6" s="637"/>
      <c r="H6" s="673" t="s">
        <v>1455</v>
      </c>
      <c r="I6" s="673"/>
      <c r="J6" s="196" t="str">
        <f>IF($L$6="","",IF(VLOOKUP(CONCATENATE("TC",MID(L6,1,4),MID(L6,6,3)),'LOP-MON'!$B$2:$N$43,10,FALSE)=0,"",VLOOKUP(CONCATENATE("TC",MID(L6,1,4),MID(L6,6,3)),'LOP-MON'!$B$2:$N$43,10,FALSE)))</f>
        <v/>
      </c>
      <c r="K6" s="119" t="s">
        <v>1456</v>
      </c>
      <c r="L6" s="637" t="str">
        <f>HKI!$D$3</f>
        <v>13CĐ-Đ1</v>
      </c>
      <c r="M6" s="637"/>
      <c r="N6" s="637"/>
      <c r="O6" s="637"/>
    </row>
    <row r="7" spans="1:15" s="188" customFormat="1" ht="18" customHeight="1">
      <c r="A7" s="189"/>
      <c r="B7" s="190"/>
      <c r="C7" s="191" t="s">
        <v>1457</v>
      </c>
      <c r="D7" s="172" t="s">
        <v>2693</v>
      </c>
      <c r="E7" s="190"/>
      <c r="F7" s="668" t="s">
        <v>2696</v>
      </c>
      <c r="G7" s="668"/>
      <c r="H7" s="668"/>
      <c r="I7" s="668"/>
      <c r="J7" s="668"/>
      <c r="K7" s="668"/>
      <c r="L7" s="190"/>
      <c r="M7" s="119"/>
      <c r="N7" s="189"/>
      <c r="O7" s="192"/>
    </row>
    <row r="8" spans="1:15" s="188" customFormat="1" ht="13.5" customHeight="1">
      <c r="A8" s="669" t="s">
        <v>255</v>
      </c>
      <c r="B8" s="669" t="s">
        <v>188</v>
      </c>
      <c r="C8" s="669" t="s">
        <v>189</v>
      </c>
      <c r="D8" s="669"/>
      <c r="E8" s="669" t="s">
        <v>1458</v>
      </c>
      <c r="F8" s="669"/>
      <c r="G8" s="669"/>
      <c r="H8" s="669"/>
      <c r="I8" s="669"/>
      <c r="J8" s="669"/>
      <c r="K8" s="669"/>
      <c r="L8" s="669" t="s">
        <v>260</v>
      </c>
      <c r="M8" s="666" t="s">
        <v>2548</v>
      </c>
      <c r="N8" s="669" t="s">
        <v>248</v>
      </c>
      <c r="O8" s="669"/>
    </row>
    <row r="9" spans="1:15" s="188" customFormat="1" ht="13.5" customHeight="1">
      <c r="A9" s="669"/>
      <c r="B9" s="669"/>
      <c r="C9" s="669"/>
      <c r="D9" s="669"/>
      <c r="E9" s="669"/>
      <c r="F9" s="669"/>
      <c r="G9" s="669"/>
      <c r="H9" s="669"/>
      <c r="I9" s="669"/>
      <c r="J9" s="669"/>
      <c r="K9" s="669"/>
      <c r="L9" s="669"/>
      <c r="M9" s="666"/>
      <c r="N9" s="669"/>
      <c r="O9" s="669"/>
    </row>
    <row r="10" spans="1:15" s="188" customFormat="1" ht="13.5" customHeight="1">
      <c r="A10" s="669"/>
      <c r="B10" s="669"/>
      <c r="C10" s="669"/>
      <c r="D10" s="669"/>
      <c r="E10" s="669"/>
      <c r="F10" s="669"/>
      <c r="G10" s="669"/>
      <c r="H10" s="669"/>
      <c r="I10" s="669"/>
      <c r="J10" s="669"/>
      <c r="K10" s="669"/>
      <c r="L10" s="669"/>
      <c r="M10" s="666"/>
      <c r="N10" s="669"/>
      <c r="O10" s="669"/>
    </row>
    <row r="11" spans="1:15" s="188" customFormat="1" ht="18" customHeight="1">
      <c r="A11" s="123" t="str">
        <f>IF(OR($C$6="",$J$6="",$L$6=""),"",IF($B11="","",SUBTOTAL(3,$B$11:B11)))</f>
        <v/>
      </c>
      <c r="B11" s="123" t="str">
        <f>IF(OR($C$6="",$J$6="",$L$6=""),"",IF(HKI!$B11="","",HKI!$B11))</f>
        <v/>
      </c>
      <c r="C11" s="124" t="str">
        <f>IF(OR($C$6="",$J$6="",$L$6=""),"",IF(HKI!$C11="","",HKI!$C11))</f>
        <v/>
      </c>
      <c r="D11" s="125" t="str">
        <f>IF(OR($C$6="",$J$6="",$L$6=""),"",IF(HKI!$D11="","",HKI!$D11))</f>
        <v/>
      </c>
      <c r="E11" s="665"/>
      <c r="F11" s="665"/>
      <c r="G11" s="665"/>
      <c r="H11" s="665"/>
      <c r="I11" s="665"/>
      <c r="J11" s="665"/>
      <c r="K11" s="665"/>
      <c r="L11" s="193"/>
      <c r="M11" s="194" t="str">
        <f>IF($B11="","",IF($L11="","KXL",IF($L11&lt;4,"Kém",IF($L11&lt;5.5,"TB Yếu",IF($L11&lt;7,"T.Bình",IF($L11&lt;8.5,"Khá","Giỏi"))))))</f>
        <v/>
      </c>
      <c r="N11" s="664"/>
      <c r="O11" s="664"/>
    </row>
    <row r="12" spans="1:15" s="188" customFormat="1" ht="18" customHeight="1">
      <c r="A12" s="123" t="str">
        <f>IF(OR($C$6="",$J$6="",$L$6=""),"",IF($B12="","",SUBTOTAL(3,$B$11:B12)))</f>
        <v/>
      </c>
      <c r="B12" s="123" t="str">
        <f>IF(OR($C$6="",$J$6="",$L$6=""),"",IF(HKI!$B12="","",HKI!$B12))</f>
        <v/>
      </c>
      <c r="C12" s="124" t="str">
        <f>IF(OR($C$6="",$J$6="",$L$6=""),"",IF(HKI!$C12="","",HKI!$C12))</f>
        <v/>
      </c>
      <c r="D12" s="125" t="str">
        <f>IF(OR($C$6="",$J$6="",$L$6=""),"",IF(HKI!$D12="","",HKI!$D12))</f>
        <v/>
      </c>
      <c r="E12" s="665"/>
      <c r="F12" s="665"/>
      <c r="G12" s="665"/>
      <c r="H12" s="665"/>
      <c r="I12" s="665"/>
      <c r="J12" s="665"/>
      <c r="K12" s="665"/>
      <c r="L12" s="193"/>
      <c r="M12" s="194" t="str">
        <f t="shared" ref="M12:M75" si="0">IF($B12="","",IF($L12="","KXL",IF($L12&lt;4,"Kém",IF($L12&lt;5.5,"TB Yếu",IF($L12&lt;7,"T.Bình",IF($L12&lt;8.5,"Khá","Giỏi"))))))</f>
        <v/>
      </c>
      <c r="N12" s="664"/>
      <c r="O12" s="664"/>
    </row>
    <row r="13" spans="1:15" s="188" customFormat="1" ht="18" customHeight="1">
      <c r="A13" s="123" t="str">
        <f>IF(OR($C$6="",$J$6="",$L$6=""),"",IF($B13="","",SUBTOTAL(3,$B$11:B13)))</f>
        <v/>
      </c>
      <c r="B13" s="123" t="str">
        <f>IF(OR($C$6="",$J$6="",$L$6=""),"",IF(HKI!$B13="","",HKI!$B13))</f>
        <v/>
      </c>
      <c r="C13" s="124" t="str">
        <f>IF(OR($C$6="",$J$6="",$L$6=""),"",IF(HKI!$C13="","",HKI!$C13))</f>
        <v/>
      </c>
      <c r="D13" s="125" t="str">
        <f>IF(OR($C$6="",$J$6="",$L$6=""),"",IF(HKI!$D13="","",HKI!$D13))</f>
        <v/>
      </c>
      <c r="E13" s="665"/>
      <c r="F13" s="665"/>
      <c r="G13" s="665"/>
      <c r="H13" s="665"/>
      <c r="I13" s="665"/>
      <c r="J13" s="665"/>
      <c r="K13" s="665"/>
      <c r="L13" s="193"/>
      <c r="M13" s="194" t="str">
        <f t="shared" si="0"/>
        <v/>
      </c>
      <c r="N13" s="664"/>
      <c r="O13" s="664"/>
    </row>
    <row r="14" spans="1:15" s="188" customFormat="1" ht="18" customHeight="1">
      <c r="A14" s="123" t="str">
        <f>IF(OR($C$6="",$J$6="",$L$6=""),"",IF($B14="","",SUBTOTAL(3,$B$11:B14)))</f>
        <v/>
      </c>
      <c r="B14" s="123" t="str">
        <f>IF(OR($C$6="",$J$6="",$L$6=""),"",IF(HKI!$B14="","",HKI!$B14))</f>
        <v/>
      </c>
      <c r="C14" s="124" t="str">
        <f>IF(OR($C$6="",$J$6="",$L$6=""),"",IF(HKI!$C14="","",HKI!$C14))</f>
        <v/>
      </c>
      <c r="D14" s="125" t="str">
        <f>IF(OR($C$6="",$J$6="",$L$6=""),"",IF(HKI!$D14="","",HKI!$D14))</f>
        <v/>
      </c>
      <c r="E14" s="665"/>
      <c r="F14" s="665"/>
      <c r="G14" s="665"/>
      <c r="H14" s="665"/>
      <c r="I14" s="665"/>
      <c r="J14" s="665"/>
      <c r="K14" s="665"/>
      <c r="L14" s="193"/>
      <c r="M14" s="194" t="str">
        <f t="shared" si="0"/>
        <v/>
      </c>
      <c r="N14" s="664"/>
      <c r="O14" s="664"/>
    </row>
    <row r="15" spans="1:15" s="188" customFormat="1" ht="18" customHeight="1">
      <c r="A15" s="123" t="str">
        <f>IF(OR($C$6="",$J$6="",$L$6=""),"",IF($B15="","",SUBTOTAL(3,$B$11:B15)))</f>
        <v/>
      </c>
      <c r="B15" s="123" t="str">
        <f>IF(OR($C$6="",$J$6="",$L$6=""),"",IF(HKI!$B15="","",HKI!$B15))</f>
        <v/>
      </c>
      <c r="C15" s="124" t="str">
        <f>IF(OR($C$6="",$J$6="",$L$6=""),"",IF(HKI!$C15="","",HKI!$C15))</f>
        <v/>
      </c>
      <c r="D15" s="125" t="str">
        <f>IF(OR($C$6="",$J$6="",$L$6=""),"",IF(HKI!$D15="","",HKI!$D15))</f>
        <v/>
      </c>
      <c r="E15" s="665"/>
      <c r="F15" s="665"/>
      <c r="G15" s="665"/>
      <c r="H15" s="665"/>
      <c r="I15" s="665"/>
      <c r="J15" s="665"/>
      <c r="K15" s="665"/>
      <c r="L15" s="193"/>
      <c r="M15" s="194" t="str">
        <f t="shared" si="0"/>
        <v/>
      </c>
      <c r="N15" s="664"/>
      <c r="O15" s="664"/>
    </row>
    <row r="16" spans="1:15" s="188" customFormat="1" ht="18" customHeight="1">
      <c r="A16" s="123" t="str">
        <f>IF(OR($C$6="",$J$6="",$L$6=""),"",IF($B16="","",SUBTOTAL(3,$B$11:B16)))</f>
        <v/>
      </c>
      <c r="B16" s="123" t="str">
        <f>IF(OR($C$6="",$J$6="",$L$6=""),"",IF(HKI!$B16="","",HKI!$B16))</f>
        <v/>
      </c>
      <c r="C16" s="124" t="str">
        <f>IF(OR($C$6="",$J$6="",$L$6=""),"",IF(HKI!$C16="","",HKI!$C16))</f>
        <v/>
      </c>
      <c r="D16" s="125" t="str">
        <f>IF(OR($C$6="",$J$6="",$L$6=""),"",IF(HKI!$D16="","",HKI!$D16))</f>
        <v/>
      </c>
      <c r="E16" s="665"/>
      <c r="F16" s="665"/>
      <c r="G16" s="665"/>
      <c r="H16" s="665"/>
      <c r="I16" s="665"/>
      <c r="J16" s="665"/>
      <c r="K16" s="665"/>
      <c r="L16" s="193"/>
      <c r="M16" s="194" t="str">
        <f t="shared" si="0"/>
        <v/>
      </c>
      <c r="N16" s="664" t="s">
        <v>1134</v>
      </c>
      <c r="O16" s="664"/>
    </row>
    <row r="17" spans="1:15" s="188" customFormat="1" ht="18" customHeight="1">
      <c r="A17" s="123" t="str">
        <f>IF(OR($C$6="",$J$6="",$L$6=""),"",IF($B17="","",SUBTOTAL(3,$B$11:B17)))</f>
        <v/>
      </c>
      <c r="B17" s="123" t="str">
        <f>IF(OR($C$6="",$J$6="",$L$6=""),"",IF(HKI!$B17="","",HKI!$B17))</f>
        <v/>
      </c>
      <c r="C17" s="124" t="str">
        <f>IF(OR($C$6="",$J$6="",$L$6=""),"",IF(HKI!$C17="","",HKI!$C17))</f>
        <v/>
      </c>
      <c r="D17" s="125" t="str">
        <f>IF(OR($C$6="",$J$6="",$L$6=""),"",IF(HKI!$D17="","",HKI!$D17))</f>
        <v/>
      </c>
      <c r="E17" s="665"/>
      <c r="F17" s="665"/>
      <c r="G17" s="665"/>
      <c r="H17" s="665"/>
      <c r="I17" s="665"/>
      <c r="J17" s="665"/>
      <c r="K17" s="665"/>
      <c r="L17" s="193"/>
      <c r="M17" s="194" t="str">
        <f t="shared" si="0"/>
        <v/>
      </c>
      <c r="N17" s="664" t="s">
        <v>1134</v>
      </c>
      <c r="O17" s="664"/>
    </row>
    <row r="18" spans="1:15" s="188" customFormat="1" ht="18" customHeight="1">
      <c r="A18" s="123" t="str">
        <f>IF(OR($C$6="",$J$6="",$L$6=""),"",IF($B18="","",SUBTOTAL(3,$B$11:B18)))</f>
        <v/>
      </c>
      <c r="B18" s="123" t="str">
        <f>IF(OR($C$6="",$J$6="",$L$6=""),"",IF(HKI!$B18="","",HKI!$B18))</f>
        <v/>
      </c>
      <c r="C18" s="124" t="str">
        <f>IF(OR($C$6="",$J$6="",$L$6=""),"",IF(HKI!$C18="","",HKI!$C18))</f>
        <v/>
      </c>
      <c r="D18" s="125" t="str">
        <f>IF(OR($C$6="",$J$6="",$L$6=""),"",IF(HKI!$D18="","",HKI!$D18))</f>
        <v/>
      </c>
      <c r="E18" s="665"/>
      <c r="F18" s="665"/>
      <c r="G18" s="665"/>
      <c r="H18" s="665"/>
      <c r="I18" s="665"/>
      <c r="J18" s="665"/>
      <c r="K18" s="665"/>
      <c r="L18" s="193"/>
      <c r="M18" s="194" t="str">
        <f t="shared" si="0"/>
        <v/>
      </c>
      <c r="N18" s="664" t="s">
        <v>1134</v>
      </c>
      <c r="O18" s="664"/>
    </row>
    <row r="19" spans="1:15" s="188" customFormat="1" ht="18" customHeight="1">
      <c r="A19" s="123" t="str">
        <f>IF(OR($C$6="",$J$6="",$L$6=""),"",IF($B19="","",SUBTOTAL(3,$B$11:B19)))</f>
        <v/>
      </c>
      <c r="B19" s="123" t="str">
        <f>IF(OR($C$6="",$J$6="",$L$6=""),"",IF(HKI!$B19="","",HKI!$B19))</f>
        <v/>
      </c>
      <c r="C19" s="124" t="str">
        <f>IF(OR($C$6="",$J$6="",$L$6=""),"",IF(HKI!$C19="","",HKI!$C19))</f>
        <v/>
      </c>
      <c r="D19" s="125" t="str">
        <f>IF(OR($C$6="",$J$6="",$L$6=""),"",IF(HKI!$D19="","",HKI!$D19))</f>
        <v/>
      </c>
      <c r="E19" s="665"/>
      <c r="F19" s="665"/>
      <c r="G19" s="665"/>
      <c r="H19" s="665"/>
      <c r="I19" s="665"/>
      <c r="J19" s="665"/>
      <c r="K19" s="665"/>
      <c r="L19" s="193"/>
      <c r="M19" s="194" t="str">
        <f t="shared" si="0"/>
        <v/>
      </c>
      <c r="N19" s="664" t="s">
        <v>1134</v>
      </c>
      <c r="O19" s="664"/>
    </row>
    <row r="20" spans="1:15" s="188" customFormat="1" ht="18" customHeight="1">
      <c r="A20" s="123" t="str">
        <f>IF(OR($C$6="",$J$6="",$L$6=""),"",IF($B20="","",SUBTOTAL(3,$B$11:B20)))</f>
        <v/>
      </c>
      <c r="B20" s="123" t="str">
        <f>IF(OR($C$6="",$J$6="",$L$6=""),"",IF(HKI!$B20="","",HKI!$B20))</f>
        <v/>
      </c>
      <c r="C20" s="124" t="str">
        <f>IF(OR($C$6="",$J$6="",$L$6=""),"",IF(HKI!$C20="","",HKI!$C20))</f>
        <v/>
      </c>
      <c r="D20" s="125" t="str">
        <f>IF(OR($C$6="",$J$6="",$L$6=""),"",IF(HKI!$D20="","",HKI!$D20))</f>
        <v/>
      </c>
      <c r="E20" s="665"/>
      <c r="F20" s="665"/>
      <c r="G20" s="665"/>
      <c r="H20" s="665"/>
      <c r="I20" s="665"/>
      <c r="J20" s="665"/>
      <c r="K20" s="665"/>
      <c r="L20" s="193"/>
      <c r="M20" s="194" t="str">
        <f t="shared" si="0"/>
        <v/>
      </c>
      <c r="N20" s="664" t="s">
        <v>1134</v>
      </c>
      <c r="O20" s="664"/>
    </row>
    <row r="21" spans="1:15" s="188" customFormat="1" ht="18" customHeight="1">
      <c r="A21" s="123" t="str">
        <f>IF(OR($C$6="",$J$6="",$L$6=""),"",IF($B21="","",SUBTOTAL(3,$B$11:B21)))</f>
        <v/>
      </c>
      <c r="B21" s="123" t="str">
        <f>IF(OR($C$6="",$J$6="",$L$6=""),"",IF(HKI!$B21="","",HKI!$B21))</f>
        <v/>
      </c>
      <c r="C21" s="124" t="str">
        <f>IF(OR($C$6="",$J$6="",$L$6=""),"",IF(HKI!$C21="","",HKI!$C21))</f>
        <v/>
      </c>
      <c r="D21" s="125" t="str">
        <f>IF(OR($C$6="",$J$6="",$L$6=""),"",IF(HKI!$D21="","",HKI!$D21))</f>
        <v/>
      </c>
      <c r="E21" s="665"/>
      <c r="F21" s="665"/>
      <c r="G21" s="665"/>
      <c r="H21" s="665"/>
      <c r="I21" s="665"/>
      <c r="J21" s="665"/>
      <c r="K21" s="665"/>
      <c r="L21" s="193"/>
      <c r="M21" s="194" t="str">
        <f t="shared" si="0"/>
        <v/>
      </c>
      <c r="N21" s="664" t="s">
        <v>1134</v>
      </c>
      <c r="O21" s="664"/>
    </row>
    <row r="22" spans="1:15" s="188" customFormat="1" ht="18" customHeight="1">
      <c r="A22" s="123" t="str">
        <f>IF(OR($C$6="",$J$6="",$L$6=""),"",IF($B22="","",SUBTOTAL(3,$B$11:B22)))</f>
        <v/>
      </c>
      <c r="B22" s="123" t="str">
        <f>IF(OR($C$6="",$J$6="",$L$6=""),"",IF(HKI!$B22="","",HKI!$B22))</f>
        <v/>
      </c>
      <c r="C22" s="124" t="str">
        <f>IF(OR($C$6="",$J$6="",$L$6=""),"",IF(HKI!$C22="","",HKI!$C22))</f>
        <v/>
      </c>
      <c r="D22" s="125" t="str">
        <f>IF(OR($C$6="",$J$6="",$L$6=""),"",IF(HKI!$D22="","",HKI!$D22))</f>
        <v/>
      </c>
      <c r="E22" s="665"/>
      <c r="F22" s="665"/>
      <c r="G22" s="665"/>
      <c r="H22" s="665"/>
      <c r="I22" s="665"/>
      <c r="J22" s="665"/>
      <c r="K22" s="665"/>
      <c r="L22" s="193"/>
      <c r="M22" s="194" t="str">
        <f t="shared" si="0"/>
        <v/>
      </c>
      <c r="N22" s="664" t="s">
        <v>1134</v>
      </c>
      <c r="O22" s="664"/>
    </row>
    <row r="23" spans="1:15" s="188" customFormat="1" ht="18" customHeight="1">
      <c r="A23" s="123" t="str">
        <f>IF(OR($C$6="",$J$6="",$L$6=""),"",IF($B23="","",SUBTOTAL(3,$B$11:B23)))</f>
        <v/>
      </c>
      <c r="B23" s="123" t="str">
        <f>IF(OR($C$6="",$J$6="",$L$6=""),"",IF(HKI!$B23="","",HKI!$B23))</f>
        <v/>
      </c>
      <c r="C23" s="124" t="str">
        <f>IF(OR($C$6="",$J$6="",$L$6=""),"",IF(HKI!$C23="","",HKI!$C23))</f>
        <v/>
      </c>
      <c r="D23" s="125" t="str">
        <f>IF(OR($C$6="",$J$6="",$L$6=""),"",IF(HKI!$D23="","",HKI!$D23))</f>
        <v/>
      </c>
      <c r="E23" s="665"/>
      <c r="F23" s="665"/>
      <c r="G23" s="665"/>
      <c r="H23" s="665"/>
      <c r="I23" s="665"/>
      <c r="J23" s="665"/>
      <c r="K23" s="665"/>
      <c r="L23" s="193"/>
      <c r="M23" s="194" t="str">
        <f t="shared" si="0"/>
        <v/>
      </c>
      <c r="N23" s="664" t="s">
        <v>1134</v>
      </c>
      <c r="O23" s="664"/>
    </row>
    <row r="24" spans="1:15" s="188" customFormat="1" ht="18" customHeight="1">
      <c r="A24" s="123" t="str">
        <f>IF(OR($C$6="",$J$6="",$L$6=""),"",IF($B24="","",SUBTOTAL(3,$B$11:B24)))</f>
        <v/>
      </c>
      <c r="B24" s="123" t="str">
        <f>IF(OR($C$6="",$J$6="",$L$6=""),"",IF(HKI!$B24="","",HKI!$B24))</f>
        <v/>
      </c>
      <c r="C24" s="124" t="str">
        <f>IF(OR($C$6="",$J$6="",$L$6=""),"",IF(HKI!$C24="","",HKI!$C24))</f>
        <v/>
      </c>
      <c r="D24" s="125" t="str">
        <f>IF(OR($C$6="",$J$6="",$L$6=""),"",IF(HKI!$D24="","",HKI!$D24))</f>
        <v/>
      </c>
      <c r="E24" s="665"/>
      <c r="F24" s="665"/>
      <c r="G24" s="665"/>
      <c r="H24" s="665"/>
      <c r="I24" s="665"/>
      <c r="J24" s="665"/>
      <c r="K24" s="665"/>
      <c r="L24" s="193"/>
      <c r="M24" s="194" t="str">
        <f t="shared" si="0"/>
        <v/>
      </c>
      <c r="N24" s="664" t="s">
        <v>1134</v>
      </c>
      <c r="O24" s="664"/>
    </row>
    <row r="25" spans="1:15" s="188" customFormat="1" ht="18" customHeight="1">
      <c r="A25" s="123" t="str">
        <f>IF(OR($C$6="",$J$6="",$L$6=""),"",IF($B25="","",SUBTOTAL(3,$B$11:B25)))</f>
        <v/>
      </c>
      <c r="B25" s="123" t="str">
        <f>IF(OR($C$6="",$J$6="",$L$6=""),"",IF(HKI!$B25="","",HKI!$B25))</f>
        <v/>
      </c>
      <c r="C25" s="124" t="str">
        <f>IF(OR($C$6="",$J$6="",$L$6=""),"",IF(HKI!$C25="","",HKI!$C25))</f>
        <v/>
      </c>
      <c r="D25" s="125" t="str">
        <f>IF(OR($C$6="",$J$6="",$L$6=""),"",IF(HKI!$D25="","",HKI!$D25))</f>
        <v/>
      </c>
      <c r="E25" s="665"/>
      <c r="F25" s="665"/>
      <c r="G25" s="665"/>
      <c r="H25" s="665"/>
      <c r="I25" s="665"/>
      <c r="J25" s="665"/>
      <c r="K25" s="665"/>
      <c r="L25" s="193"/>
      <c r="M25" s="194" t="str">
        <f t="shared" si="0"/>
        <v/>
      </c>
      <c r="N25" s="664" t="s">
        <v>1134</v>
      </c>
      <c r="O25" s="664"/>
    </row>
    <row r="26" spans="1:15" s="188" customFormat="1" ht="18" customHeight="1">
      <c r="A26" s="123" t="str">
        <f>IF(OR($C$6="",$J$6="",$L$6=""),"",IF($B26="","",SUBTOTAL(3,$B$11:B26)))</f>
        <v/>
      </c>
      <c r="B26" s="123" t="str">
        <f>IF(OR($C$6="",$J$6="",$L$6=""),"",IF(HKI!$B26="","",HKI!$B26))</f>
        <v/>
      </c>
      <c r="C26" s="124" t="str">
        <f>IF(OR($C$6="",$J$6="",$L$6=""),"",IF(HKI!$C26="","",HKI!$C26))</f>
        <v/>
      </c>
      <c r="D26" s="125" t="str">
        <f>IF(OR($C$6="",$J$6="",$L$6=""),"",IF(HKI!$D26="","",HKI!$D26))</f>
        <v/>
      </c>
      <c r="E26" s="665"/>
      <c r="F26" s="665"/>
      <c r="G26" s="665"/>
      <c r="H26" s="665"/>
      <c r="I26" s="665"/>
      <c r="J26" s="665"/>
      <c r="K26" s="665"/>
      <c r="L26" s="193"/>
      <c r="M26" s="194" t="str">
        <f t="shared" si="0"/>
        <v/>
      </c>
      <c r="N26" s="664" t="s">
        <v>1134</v>
      </c>
      <c r="O26" s="664"/>
    </row>
    <row r="27" spans="1:15" s="188" customFormat="1" ht="18" customHeight="1">
      <c r="A27" s="123" t="str">
        <f>IF(OR($C$6="",$J$6="",$L$6=""),"",IF($B27="","",SUBTOTAL(3,$B$11:B27)))</f>
        <v/>
      </c>
      <c r="B27" s="123" t="str">
        <f>IF(OR($C$6="",$J$6="",$L$6=""),"",IF(HKI!$B27="","",HKI!$B27))</f>
        <v/>
      </c>
      <c r="C27" s="124" t="str">
        <f>IF(OR($C$6="",$J$6="",$L$6=""),"",IF(HKI!$C27="","",HKI!$C27))</f>
        <v/>
      </c>
      <c r="D27" s="125" t="str">
        <f>IF(OR($C$6="",$J$6="",$L$6=""),"",IF(HKI!$D27="","",HKI!$D27))</f>
        <v/>
      </c>
      <c r="E27" s="665"/>
      <c r="F27" s="665"/>
      <c r="G27" s="665"/>
      <c r="H27" s="665"/>
      <c r="I27" s="665"/>
      <c r="J27" s="665"/>
      <c r="K27" s="665"/>
      <c r="L27" s="193"/>
      <c r="M27" s="194" t="str">
        <f t="shared" si="0"/>
        <v/>
      </c>
      <c r="N27" s="664" t="s">
        <v>1134</v>
      </c>
      <c r="O27" s="664"/>
    </row>
    <row r="28" spans="1:15" s="188" customFormat="1" ht="18" customHeight="1">
      <c r="A28" s="123" t="str">
        <f>IF(OR($C$6="",$J$6="",$L$6=""),"",IF($B28="","",SUBTOTAL(3,$B$11:B28)))</f>
        <v/>
      </c>
      <c r="B28" s="123" t="str">
        <f>IF(OR($C$6="",$J$6="",$L$6=""),"",IF(HKI!$B28="","",HKI!$B28))</f>
        <v/>
      </c>
      <c r="C28" s="124" t="str">
        <f>IF(OR($C$6="",$J$6="",$L$6=""),"",IF(HKI!$C28="","",HKI!$C28))</f>
        <v/>
      </c>
      <c r="D28" s="125" t="str">
        <f>IF(OR($C$6="",$J$6="",$L$6=""),"",IF(HKI!$D28="","",HKI!$D28))</f>
        <v/>
      </c>
      <c r="E28" s="665"/>
      <c r="F28" s="665"/>
      <c r="G28" s="665"/>
      <c r="H28" s="665"/>
      <c r="I28" s="665"/>
      <c r="J28" s="665"/>
      <c r="K28" s="665"/>
      <c r="L28" s="193"/>
      <c r="M28" s="194" t="str">
        <f t="shared" si="0"/>
        <v/>
      </c>
      <c r="N28" s="664" t="s">
        <v>1134</v>
      </c>
      <c r="O28" s="664"/>
    </row>
    <row r="29" spans="1:15" s="188" customFormat="1" ht="18" customHeight="1">
      <c r="A29" s="123" t="str">
        <f>IF(OR($C$6="",$J$6="",$L$6=""),"",IF($B29="","",SUBTOTAL(3,$B$11:B29)))</f>
        <v/>
      </c>
      <c r="B29" s="123" t="str">
        <f>IF(OR($C$6="",$J$6="",$L$6=""),"",IF(HKI!$B29="","",HKI!$B29))</f>
        <v/>
      </c>
      <c r="C29" s="124" t="str">
        <f>IF(OR($C$6="",$J$6="",$L$6=""),"",IF(HKI!$C29="","",HKI!$C29))</f>
        <v/>
      </c>
      <c r="D29" s="125" t="str">
        <f>IF(OR($C$6="",$J$6="",$L$6=""),"",IF(HKI!$D29="","",HKI!$D29))</f>
        <v/>
      </c>
      <c r="E29" s="665"/>
      <c r="F29" s="665"/>
      <c r="G29" s="665"/>
      <c r="H29" s="665"/>
      <c r="I29" s="665"/>
      <c r="J29" s="665"/>
      <c r="K29" s="665"/>
      <c r="L29" s="193"/>
      <c r="M29" s="194" t="str">
        <f t="shared" si="0"/>
        <v/>
      </c>
      <c r="N29" s="664" t="s">
        <v>1134</v>
      </c>
      <c r="O29" s="664"/>
    </row>
    <row r="30" spans="1:15" s="188" customFormat="1" ht="18" customHeight="1">
      <c r="A30" s="123" t="str">
        <f>IF(OR($C$6="",$J$6="",$L$6=""),"",IF($B30="","",SUBTOTAL(3,$B$11:B30)))</f>
        <v/>
      </c>
      <c r="B30" s="123" t="str">
        <f>IF(OR($C$6="",$J$6="",$L$6=""),"",IF(HKI!$B30="","",HKI!$B30))</f>
        <v/>
      </c>
      <c r="C30" s="124" t="str">
        <f>IF(OR($C$6="",$J$6="",$L$6=""),"",IF(HKI!$C30="","",HKI!$C30))</f>
        <v/>
      </c>
      <c r="D30" s="125" t="str">
        <f>IF(OR($C$6="",$J$6="",$L$6=""),"",IF(HKI!$D30="","",HKI!$D30))</f>
        <v/>
      </c>
      <c r="E30" s="665"/>
      <c r="F30" s="665"/>
      <c r="G30" s="665"/>
      <c r="H30" s="665"/>
      <c r="I30" s="665"/>
      <c r="J30" s="665"/>
      <c r="K30" s="665"/>
      <c r="L30" s="193"/>
      <c r="M30" s="194" t="str">
        <f t="shared" si="0"/>
        <v/>
      </c>
      <c r="N30" s="664" t="s">
        <v>1134</v>
      </c>
      <c r="O30" s="664"/>
    </row>
    <row r="31" spans="1:15" s="188" customFormat="1" ht="18" customHeight="1">
      <c r="A31" s="123" t="str">
        <f>IF(OR($C$6="",$J$6="",$L$6=""),"",IF($B31="","",SUBTOTAL(3,$B$11:B31)))</f>
        <v/>
      </c>
      <c r="B31" s="123" t="str">
        <f>IF(OR($C$6="",$J$6="",$L$6=""),"",IF(HKI!$B31="","",HKI!$B31))</f>
        <v/>
      </c>
      <c r="C31" s="124" t="str">
        <f>IF(OR($C$6="",$J$6="",$L$6=""),"",IF(HKI!$C31="","",HKI!$C31))</f>
        <v/>
      </c>
      <c r="D31" s="125" t="str">
        <f>IF(OR($C$6="",$J$6="",$L$6=""),"",IF(HKI!$D31="","",HKI!$D31))</f>
        <v/>
      </c>
      <c r="E31" s="665"/>
      <c r="F31" s="665"/>
      <c r="G31" s="665"/>
      <c r="H31" s="665"/>
      <c r="I31" s="665"/>
      <c r="J31" s="665"/>
      <c r="K31" s="665"/>
      <c r="L31" s="193"/>
      <c r="M31" s="194" t="str">
        <f t="shared" si="0"/>
        <v/>
      </c>
      <c r="N31" s="664" t="s">
        <v>1134</v>
      </c>
      <c r="O31" s="664"/>
    </row>
    <row r="32" spans="1:15" s="188" customFormat="1" ht="18" customHeight="1">
      <c r="A32" s="123" t="str">
        <f>IF(OR($C$6="",$J$6="",$L$6=""),"",IF($B32="","",SUBTOTAL(3,$B$11:B32)))</f>
        <v/>
      </c>
      <c r="B32" s="123" t="str">
        <f>IF(OR($C$6="",$J$6="",$L$6=""),"",IF(HKI!$B32="","",HKI!$B32))</f>
        <v/>
      </c>
      <c r="C32" s="124" t="str">
        <f>IF(OR($C$6="",$J$6="",$L$6=""),"",IF(HKI!$C32="","",HKI!$C32))</f>
        <v/>
      </c>
      <c r="D32" s="125" t="str">
        <f>IF(OR($C$6="",$J$6="",$L$6=""),"",IF(HKI!$D32="","",HKI!$D32))</f>
        <v/>
      </c>
      <c r="E32" s="665"/>
      <c r="F32" s="665"/>
      <c r="G32" s="665"/>
      <c r="H32" s="665"/>
      <c r="I32" s="665"/>
      <c r="J32" s="665"/>
      <c r="K32" s="665"/>
      <c r="L32" s="193"/>
      <c r="M32" s="194" t="str">
        <f t="shared" si="0"/>
        <v/>
      </c>
      <c r="N32" s="664" t="s">
        <v>1134</v>
      </c>
      <c r="O32" s="664"/>
    </row>
    <row r="33" spans="1:15" s="188" customFormat="1" ht="18" customHeight="1">
      <c r="A33" s="123" t="str">
        <f>IF(OR($C$6="",$J$6="",$L$6=""),"",IF($B33="","",SUBTOTAL(3,$B$11:B33)))</f>
        <v/>
      </c>
      <c r="B33" s="123" t="str">
        <f>IF(OR($C$6="",$J$6="",$L$6=""),"",IF(HKI!$B33="","",HKI!$B33))</f>
        <v/>
      </c>
      <c r="C33" s="124" t="str">
        <f>IF(OR($C$6="",$J$6="",$L$6=""),"",IF(HKI!$C33="","",HKI!$C33))</f>
        <v/>
      </c>
      <c r="D33" s="125" t="str">
        <f>IF(OR($C$6="",$J$6="",$L$6=""),"",IF(HKI!$D33="","",HKI!$D33))</f>
        <v/>
      </c>
      <c r="E33" s="665"/>
      <c r="F33" s="665"/>
      <c r="G33" s="665"/>
      <c r="H33" s="665"/>
      <c r="I33" s="665"/>
      <c r="J33" s="665"/>
      <c r="K33" s="665"/>
      <c r="L33" s="193"/>
      <c r="M33" s="194" t="str">
        <f t="shared" si="0"/>
        <v/>
      </c>
      <c r="N33" s="664" t="s">
        <v>1134</v>
      </c>
      <c r="O33" s="664"/>
    </row>
    <row r="34" spans="1:15" s="188" customFormat="1" ht="18" customHeight="1">
      <c r="A34" s="123" t="str">
        <f>IF(OR($C$6="",$J$6="",$L$6=""),"",IF($B34="","",SUBTOTAL(3,$B$11:B34)))</f>
        <v/>
      </c>
      <c r="B34" s="123" t="str">
        <f>IF(OR($C$6="",$J$6="",$L$6=""),"",IF(HKI!$B34="","",HKI!$B34))</f>
        <v/>
      </c>
      <c r="C34" s="124" t="str">
        <f>IF(OR($C$6="",$J$6="",$L$6=""),"",IF(HKI!$C34="","",HKI!$C34))</f>
        <v/>
      </c>
      <c r="D34" s="125" t="str">
        <f>IF(OR($C$6="",$J$6="",$L$6=""),"",IF(HKI!$D34="","",HKI!$D34))</f>
        <v/>
      </c>
      <c r="E34" s="665"/>
      <c r="F34" s="665"/>
      <c r="G34" s="665"/>
      <c r="H34" s="665"/>
      <c r="I34" s="665"/>
      <c r="J34" s="665"/>
      <c r="K34" s="665"/>
      <c r="L34" s="193"/>
      <c r="M34" s="194" t="str">
        <f t="shared" si="0"/>
        <v/>
      </c>
      <c r="N34" s="664" t="s">
        <v>1134</v>
      </c>
      <c r="O34" s="664"/>
    </row>
    <row r="35" spans="1:15" s="188" customFormat="1" ht="18" customHeight="1">
      <c r="A35" s="123" t="str">
        <f>IF(OR($C$6="",$J$6="",$L$6=""),"",IF($B35="","",SUBTOTAL(3,$B$11:B35)))</f>
        <v/>
      </c>
      <c r="B35" s="123" t="str">
        <f>IF(OR($C$6="",$J$6="",$L$6=""),"",IF(HKI!$B35="","",HKI!$B35))</f>
        <v/>
      </c>
      <c r="C35" s="124" t="str">
        <f>IF(OR($C$6="",$J$6="",$L$6=""),"",IF(HKI!$C35="","",HKI!$C35))</f>
        <v/>
      </c>
      <c r="D35" s="125" t="str">
        <f>IF(OR($C$6="",$J$6="",$L$6=""),"",IF(HKI!$D35="","",HKI!$D35))</f>
        <v/>
      </c>
      <c r="E35" s="665"/>
      <c r="F35" s="665"/>
      <c r="G35" s="665"/>
      <c r="H35" s="665"/>
      <c r="I35" s="665"/>
      <c r="J35" s="665"/>
      <c r="K35" s="665"/>
      <c r="L35" s="193"/>
      <c r="M35" s="194" t="str">
        <f t="shared" si="0"/>
        <v/>
      </c>
      <c r="N35" s="664" t="s">
        <v>1134</v>
      </c>
      <c r="O35" s="664"/>
    </row>
    <row r="36" spans="1:15" s="188" customFormat="1" ht="18" customHeight="1">
      <c r="A36" s="123" t="str">
        <f>IF(OR($C$6="",$J$6="",$L$6=""),"",IF($B36="","",SUBTOTAL(3,$B$11:B36)))</f>
        <v/>
      </c>
      <c r="B36" s="123" t="str">
        <f>IF(OR($C$6="",$J$6="",$L$6=""),"",IF(HKI!$B36="","",HKI!$B36))</f>
        <v/>
      </c>
      <c r="C36" s="124" t="str">
        <f>IF(OR($C$6="",$J$6="",$L$6=""),"",IF(HKI!$C36="","",HKI!$C36))</f>
        <v/>
      </c>
      <c r="D36" s="125" t="str">
        <f>IF(OR($C$6="",$J$6="",$L$6=""),"",IF(HKI!$D36="","",HKI!$D36))</f>
        <v/>
      </c>
      <c r="E36" s="665"/>
      <c r="F36" s="665"/>
      <c r="G36" s="665"/>
      <c r="H36" s="665"/>
      <c r="I36" s="665"/>
      <c r="J36" s="665"/>
      <c r="K36" s="665"/>
      <c r="L36" s="193"/>
      <c r="M36" s="194" t="str">
        <f t="shared" si="0"/>
        <v/>
      </c>
      <c r="N36" s="664" t="s">
        <v>1134</v>
      </c>
      <c r="O36" s="664"/>
    </row>
    <row r="37" spans="1:15" s="188" customFormat="1" ht="18" customHeight="1">
      <c r="A37" s="123" t="str">
        <f>IF(OR($C$6="",$J$6="",$L$6=""),"",IF($B37="","",SUBTOTAL(3,$B$11:B37)))</f>
        <v/>
      </c>
      <c r="B37" s="123" t="str">
        <f>IF(OR($C$6="",$J$6="",$L$6=""),"",IF(HKI!$B37="","",HKI!$B37))</f>
        <v/>
      </c>
      <c r="C37" s="124" t="str">
        <f>IF(OR($C$6="",$J$6="",$L$6=""),"",IF(HKI!$C37="","",HKI!$C37))</f>
        <v/>
      </c>
      <c r="D37" s="125" t="str">
        <f>IF(OR($C$6="",$J$6="",$L$6=""),"",IF(HKI!$D37="","",HKI!$D37))</f>
        <v/>
      </c>
      <c r="E37" s="665"/>
      <c r="F37" s="665"/>
      <c r="G37" s="665"/>
      <c r="H37" s="665"/>
      <c r="I37" s="665"/>
      <c r="J37" s="665"/>
      <c r="K37" s="665"/>
      <c r="L37" s="193"/>
      <c r="M37" s="194" t="str">
        <f t="shared" si="0"/>
        <v/>
      </c>
      <c r="N37" s="664" t="s">
        <v>1134</v>
      </c>
      <c r="O37" s="664"/>
    </row>
    <row r="38" spans="1:15" s="188" customFormat="1" ht="18" customHeight="1">
      <c r="A38" s="123" t="str">
        <f>IF(OR($C$6="",$J$6="",$L$6=""),"",IF($B38="","",SUBTOTAL(3,$B$11:B38)))</f>
        <v/>
      </c>
      <c r="B38" s="123" t="str">
        <f>IF(OR($C$6="",$J$6="",$L$6=""),"",IF(HKI!$B38="","",HKI!$B38))</f>
        <v/>
      </c>
      <c r="C38" s="124" t="str">
        <f>IF(OR($C$6="",$J$6="",$L$6=""),"",IF(HKI!$C38="","",HKI!$C38))</f>
        <v/>
      </c>
      <c r="D38" s="125" t="str">
        <f>IF(OR($C$6="",$J$6="",$L$6=""),"",IF(HKI!$D38="","",HKI!$D38))</f>
        <v/>
      </c>
      <c r="E38" s="665"/>
      <c r="F38" s="665"/>
      <c r="G38" s="665"/>
      <c r="H38" s="665"/>
      <c r="I38" s="665"/>
      <c r="J38" s="665"/>
      <c r="K38" s="665"/>
      <c r="L38" s="193"/>
      <c r="M38" s="194" t="str">
        <f t="shared" si="0"/>
        <v/>
      </c>
      <c r="N38" s="664" t="s">
        <v>1134</v>
      </c>
      <c r="O38" s="664"/>
    </row>
    <row r="39" spans="1:15" s="188" customFormat="1" ht="18" customHeight="1">
      <c r="A39" s="123" t="str">
        <f>IF(OR($C$6="",$J$6="",$L$6=""),"",IF($B39="","",SUBTOTAL(3,$B$11:B39)))</f>
        <v/>
      </c>
      <c r="B39" s="123" t="str">
        <f>IF(OR($C$6="",$J$6="",$L$6=""),"",IF(HKI!$B39="","",HKI!$B39))</f>
        <v/>
      </c>
      <c r="C39" s="124" t="str">
        <f>IF(OR($C$6="",$J$6="",$L$6=""),"",IF(HKI!$C39="","",HKI!$C39))</f>
        <v/>
      </c>
      <c r="D39" s="125" t="str">
        <f>IF(OR($C$6="",$J$6="",$L$6=""),"",IF(HKI!$D39="","",HKI!$D39))</f>
        <v/>
      </c>
      <c r="E39" s="665"/>
      <c r="F39" s="665"/>
      <c r="G39" s="665"/>
      <c r="H39" s="665"/>
      <c r="I39" s="665"/>
      <c r="J39" s="665"/>
      <c r="K39" s="665"/>
      <c r="L39" s="193"/>
      <c r="M39" s="194" t="str">
        <f t="shared" si="0"/>
        <v/>
      </c>
      <c r="N39" s="664" t="s">
        <v>1134</v>
      </c>
      <c r="O39" s="664"/>
    </row>
    <row r="40" spans="1:15" s="188" customFormat="1" ht="18" customHeight="1">
      <c r="A40" s="123" t="str">
        <f>IF(OR($C$6="",$J$6="",$L$6=""),"",IF($B40="","",SUBTOTAL(3,$B$11:B40)))</f>
        <v/>
      </c>
      <c r="B40" s="123" t="str">
        <f>IF(OR($C$6="",$J$6="",$L$6=""),"",IF(HKI!$B40="","",HKI!$B40))</f>
        <v/>
      </c>
      <c r="C40" s="124" t="str">
        <f>IF(OR($C$6="",$J$6="",$L$6=""),"",IF(HKI!$C40="","",HKI!$C40))</f>
        <v/>
      </c>
      <c r="D40" s="125" t="str">
        <f>IF(OR($C$6="",$J$6="",$L$6=""),"",IF(HKI!$D40="","",HKI!$D40))</f>
        <v/>
      </c>
      <c r="E40" s="665"/>
      <c r="F40" s="665"/>
      <c r="G40" s="665"/>
      <c r="H40" s="665"/>
      <c r="I40" s="665"/>
      <c r="J40" s="665"/>
      <c r="K40" s="665"/>
      <c r="L40" s="193"/>
      <c r="M40" s="194" t="str">
        <f t="shared" si="0"/>
        <v/>
      </c>
      <c r="N40" s="664" t="s">
        <v>1134</v>
      </c>
      <c r="O40" s="664"/>
    </row>
    <row r="41" spans="1:15" s="188" customFormat="1" ht="18" customHeight="1">
      <c r="A41" s="123" t="str">
        <f>IF(OR($C$6="",$J$6="",$L$6=""),"",IF($B41="","",SUBTOTAL(3,$B$11:B41)))</f>
        <v/>
      </c>
      <c r="B41" s="123" t="str">
        <f>IF(OR($C$6="",$J$6="",$L$6=""),"",IF(HKI!$B41="","",HKI!$B41))</f>
        <v/>
      </c>
      <c r="C41" s="124" t="str">
        <f>IF(OR($C$6="",$J$6="",$L$6=""),"",IF(HKI!$C41="","",HKI!$C41))</f>
        <v/>
      </c>
      <c r="D41" s="125" t="str">
        <f>IF(OR($C$6="",$J$6="",$L$6=""),"",IF(HKI!$D41="","",HKI!$D41))</f>
        <v/>
      </c>
      <c r="E41" s="665"/>
      <c r="F41" s="665"/>
      <c r="G41" s="665"/>
      <c r="H41" s="665"/>
      <c r="I41" s="665"/>
      <c r="J41" s="665"/>
      <c r="K41" s="665"/>
      <c r="L41" s="193"/>
      <c r="M41" s="194" t="str">
        <f t="shared" si="0"/>
        <v/>
      </c>
      <c r="N41" s="664" t="s">
        <v>1134</v>
      </c>
      <c r="O41" s="664"/>
    </row>
    <row r="42" spans="1:15" s="188" customFormat="1" ht="18" customHeight="1">
      <c r="A42" s="123" t="str">
        <f>IF(OR($C$6="",$J$6="",$L$6=""),"",IF($B42="","",SUBTOTAL(3,$B$11:B42)))</f>
        <v/>
      </c>
      <c r="B42" s="123" t="str">
        <f>IF(OR($C$6="",$J$6="",$L$6=""),"",IF(HKI!$B42="","",HKI!$B42))</f>
        <v/>
      </c>
      <c r="C42" s="124" t="str">
        <f>IF(OR($C$6="",$J$6="",$L$6=""),"",IF(HKI!$C42="","",HKI!$C42))</f>
        <v/>
      </c>
      <c r="D42" s="125" t="str">
        <f>IF(OR($C$6="",$J$6="",$L$6=""),"",IF(HKI!$D42="","",HKI!$D42))</f>
        <v/>
      </c>
      <c r="E42" s="665"/>
      <c r="F42" s="665"/>
      <c r="G42" s="665"/>
      <c r="H42" s="665"/>
      <c r="I42" s="665"/>
      <c r="J42" s="665"/>
      <c r="K42" s="665"/>
      <c r="L42" s="193"/>
      <c r="M42" s="194" t="str">
        <f t="shared" si="0"/>
        <v/>
      </c>
      <c r="N42" s="664" t="s">
        <v>1134</v>
      </c>
      <c r="O42" s="664"/>
    </row>
    <row r="43" spans="1:15" s="188" customFormat="1" ht="18" customHeight="1">
      <c r="A43" s="123" t="str">
        <f>IF(OR($C$6="",$J$6="",$L$6=""),"",IF($B43="","",SUBTOTAL(3,$B$11:B43)))</f>
        <v/>
      </c>
      <c r="B43" s="123" t="str">
        <f>IF(OR($C$6="",$J$6="",$L$6=""),"",IF(HKI!$B43="","",HKI!$B43))</f>
        <v/>
      </c>
      <c r="C43" s="124" t="str">
        <f>IF(OR($C$6="",$J$6="",$L$6=""),"",IF(HKI!$C43="","",HKI!$C43))</f>
        <v/>
      </c>
      <c r="D43" s="125" t="str">
        <f>IF(OR($C$6="",$J$6="",$L$6=""),"",IF(HKI!$D43="","",HKI!$D43))</f>
        <v/>
      </c>
      <c r="E43" s="665"/>
      <c r="F43" s="665"/>
      <c r="G43" s="665"/>
      <c r="H43" s="665"/>
      <c r="I43" s="665"/>
      <c r="J43" s="665"/>
      <c r="K43" s="665"/>
      <c r="L43" s="193"/>
      <c r="M43" s="194" t="str">
        <f t="shared" si="0"/>
        <v/>
      </c>
      <c r="N43" s="664" t="s">
        <v>1134</v>
      </c>
      <c r="O43" s="664"/>
    </row>
    <row r="44" spans="1:15" s="188" customFormat="1" ht="18" customHeight="1">
      <c r="A44" s="123" t="str">
        <f>IF(OR($C$6="",$J$6="",$L$6=""),"",IF($B44="","",SUBTOTAL(3,$B$11:B44)))</f>
        <v/>
      </c>
      <c r="B44" s="123" t="str">
        <f>IF(OR($C$6="",$J$6="",$L$6=""),"",IF(HKI!$B44="","",HKI!$B44))</f>
        <v/>
      </c>
      <c r="C44" s="124" t="str">
        <f>IF(OR($C$6="",$J$6="",$L$6=""),"",IF(HKI!$C44="","",HKI!$C44))</f>
        <v/>
      </c>
      <c r="D44" s="125" t="str">
        <f>IF(OR($C$6="",$J$6="",$L$6=""),"",IF(HKI!$D44="","",HKI!$D44))</f>
        <v/>
      </c>
      <c r="E44" s="665"/>
      <c r="F44" s="665"/>
      <c r="G44" s="665"/>
      <c r="H44" s="665"/>
      <c r="I44" s="665"/>
      <c r="J44" s="665"/>
      <c r="K44" s="665"/>
      <c r="L44" s="193"/>
      <c r="M44" s="194" t="str">
        <f t="shared" si="0"/>
        <v/>
      </c>
      <c r="N44" s="664" t="s">
        <v>1134</v>
      </c>
      <c r="O44" s="664"/>
    </row>
    <row r="45" spans="1:15" s="188" customFormat="1" ht="18" customHeight="1">
      <c r="A45" s="123" t="str">
        <f>IF(OR($C$6="",$J$6="",$L$6=""),"",IF($B45="","",SUBTOTAL(3,$B$11:B45)))</f>
        <v/>
      </c>
      <c r="B45" s="123" t="str">
        <f>IF(OR($C$6="",$J$6="",$L$6=""),"",IF(HKI!$B45="","",HKI!$B45))</f>
        <v/>
      </c>
      <c r="C45" s="124" t="str">
        <f>IF(OR($C$6="",$J$6="",$L$6=""),"",IF(HKI!$C45="","",HKI!$C45))</f>
        <v/>
      </c>
      <c r="D45" s="125" t="str">
        <f>IF(OR($C$6="",$J$6="",$L$6=""),"",IF(HKI!$D45="","",HKI!$D45))</f>
        <v/>
      </c>
      <c r="E45" s="665"/>
      <c r="F45" s="665"/>
      <c r="G45" s="665"/>
      <c r="H45" s="665"/>
      <c r="I45" s="665"/>
      <c r="J45" s="665"/>
      <c r="K45" s="665"/>
      <c r="L45" s="193"/>
      <c r="M45" s="194" t="str">
        <f t="shared" si="0"/>
        <v/>
      </c>
      <c r="N45" s="664" t="s">
        <v>1134</v>
      </c>
      <c r="O45" s="664"/>
    </row>
    <row r="46" spans="1:15" s="188" customFormat="1" ht="18" customHeight="1">
      <c r="A46" s="123" t="str">
        <f>IF(OR($C$6="",$J$6="",$L$6=""),"",IF($B46="","",SUBTOTAL(3,$B$11:B46)))</f>
        <v/>
      </c>
      <c r="B46" s="123" t="str">
        <f>IF(OR($C$6="",$J$6="",$L$6=""),"",IF(HKI!$B46="","",HKI!$B46))</f>
        <v/>
      </c>
      <c r="C46" s="124" t="str">
        <f>IF(OR($C$6="",$J$6="",$L$6=""),"",IF(HKI!$C46="","",HKI!$C46))</f>
        <v/>
      </c>
      <c r="D46" s="125" t="str">
        <f>IF(OR($C$6="",$J$6="",$L$6=""),"",IF(HKI!$D46="","",HKI!$D46))</f>
        <v/>
      </c>
      <c r="E46" s="665"/>
      <c r="F46" s="665"/>
      <c r="G46" s="665"/>
      <c r="H46" s="665"/>
      <c r="I46" s="665"/>
      <c r="J46" s="665"/>
      <c r="K46" s="665"/>
      <c r="L46" s="193"/>
      <c r="M46" s="194" t="str">
        <f t="shared" si="0"/>
        <v/>
      </c>
      <c r="N46" s="664" t="s">
        <v>1134</v>
      </c>
      <c r="O46" s="664"/>
    </row>
    <row r="47" spans="1:15" s="188" customFormat="1" ht="18" customHeight="1">
      <c r="A47" s="123" t="str">
        <f>IF(OR($C$6="",$J$6="",$L$6=""),"",IF($B47="","",SUBTOTAL(3,$B$11:B47)))</f>
        <v/>
      </c>
      <c r="B47" s="123" t="str">
        <f>IF(OR($C$6="",$J$6="",$L$6=""),"",IF(HKI!$B47="","",HKI!$B47))</f>
        <v/>
      </c>
      <c r="C47" s="124" t="str">
        <f>IF(OR($C$6="",$J$6="",$L$6=""),"",IF(HKI!$C47="","",HKI!$C47))</f>
        <v/>
      </c>
      <c r="D47" s="125" t="str">
        <f>IF(OR($C$6="",$J$6="",$L$6=""),"",IF(HKI!$D47="","",HKI!$D47))</f>
        <v/>
      </c>
      <c r="E47" s="665"/>
      <c r="F47" s="665"/>
      <c r="G47" s="665"/>
      <c r="H47" s="665"/>
      <c r="I47" s="665"/>
      <c r="J47" s="665"/>
      <c r="K47" s="665"/>
      <c r="L47" s="193"/>
      <c r="M47" s="194" t="str">
        <f t="shared" si="0"/>
        <v/>
      </c>
      <c r="N47" s="664" t="s">
        <v>1134</v>
      </c>
      <c r="O47" s="664"/>
    </row>
    <row r="48" spans="1:15" s="188" customFormat="1" ht="18" customHeight="1">
      <c r="A48" s="123" t="str">
        <f>IF(OR($C$6="",$J$6="",$L$6=""),"",IF($B48="","",SUBTOTAL(3,$B$11:B48)))</f>
        <v/>
      </c>
      <c r="B48" s="123" t="str">
        <f>IF(OR($C$6="",$J$6="",$L$6=""),"",IF(HKI!$B48="","",HKI!$B48))</f>
        <v/>
      </c>
      <c r="C48" s="124" t="str">
        <f>IF(OR($C$6="",$J$6="",$L$6=""),"",IF(HKI!$C48="","",HKI!$C48))</f>
        <v/>
      </c>
      <c r="D48" s="125" t="str">
        <f>IF(OR($C$6="",$J$6="",$L$6=""),"",IF(HKI!$D48="","",HKI!$D48))</f>
        <v/>
      </c>
      <c r="E48" s="665"/>
      <c r="F48" s="665"/>
      <c r="G48" s="665"/>
      <c r="H48" s="665"/>
      <c r="I48" s="665"/>
      <c r="J48" s="665"/>
      <c r="K48" s="665"/>
      <c r="L48" s="193"/>
      <c r="M48" s="194" t="str">
        <f t="shared" si="0"/>
        <v/>
      </c>
      <c r="N48" s="664" t="s">
        <v>1134</v>
      </c>
      <c r="O48" s="664"/>
    </row>
    <row r="49" spans="1:15" s="188" customFormat="1" ht="18" customHeight="1">
      <c r="A49" s="123" t="str">
        <f>IF(OR($C$6="",$J$6="",$L$6=""),"",IF($B49="","",SUBTOTAL(3,$B$11:B49)))</f>
        <v/>
      </c>
      <c r="B49" s="123" t="str">
        <f>IF(OR($C$6="",$J$6="",$L$6=""),"",IF(HKI!$B49="","",HKI!$B49))</f>
        <v/>
      </c>
      <c r="C49" s="124" t="str">
        <f>IF(OR($C$6="",$J$6="",$L$6=""),"",IF(HKI!$C49="","",HKI!$C49))</f>
        <v/>
      </c>
      <c r="D49" s="125" t="str">
        <f>IF(OR($C$6="",$J$6="",$L$6=""),"",IF(HKI!$D49="","",HKI!$D49))</f>
        <v/>
      </c>
      <c r="E49" s="665"/>
      <c r="F49" s="665"/>
      <c r="G49" s="665"/>
      <c r="H49" s="665"/>
      <c r="I49" s="665"/>
      <c r="J49" s="665"/>
      <c r="K49" s="665"/>
      <c r="L49" s="193"/>
      <c r="M49" s="194" t="str">
        <f t="shared" si="0"/>
        <v/>
      </c>
      <c r="N49" s="664" t="s">
        <v>1134</v>
      </c>
      <c r="O49" s="664"/>
    </row>
    <row r="50" spans="1:15" s="188" customFormat="1" ht="18" customHeight="1">
      <c r="A50" s="123" t="str">
        <f>IF(OR($C$6="",$J$6="",$L$6=""),"",IF($B50="","",SUBTOTAL(3,$B$11:B50)))</f>
        <v/>
      </c>
      <c r="B50" s="123" t="str">
        <f>IF(OR($C$6="",$J$6="",$L$6=""),"",IF(HKI!$B50="","",HKI!$B50))</f>
        <v/>
      </c>
      <c r="C50" s="124" t="str">
        <f>IF(OR($C$6="",$J$6="",$L$6=""),"",IF(HKI!$C50="","",HKI!$C50))</f>
        <v/>
      </c>
      <c r="D50" s="125" t="str">
        <f>IF(OR($C$6="",$J$6="",$L$6=""),"",IF(HKI!$D50="","",HKI!$D50))</f>
        <v/>
      </c>
      <c r="E50" s="665"/>
      <c r="F50" s="665"/>
      <c r="G50" s="665"/>
      <c r="H50" s="665"/>
      <c r="I50" s="665"/>
      <c r="J50" s="665"/>
      <c r="K50" s="665"/>
      <c r="L50" s="193"/>
      <c r="M50" s="194" t="str">
        <f t="shared" si="0"/>
        <v/>
      </c>
      <c r="N50" s="664" t="s">
        <v>1134</v>
      </c>
      <c r="O50" s="664"/>
    </row>
    <row r="51" spans="1:15" s="188" customFormat="1" ht="18" customHeight="1">
      <c r="A51" s="123" t="str">
        <f>IF(OR($C$6="",$J$6="",$L$6=""),"",IF($B51="","",SUBTOTAL(3,$B$11:B51)))</f>
        <v/>
      </c>
      <c r="B51" s="123" t="str">
        <f>IF(OR($C$6="",$J$6="",$L$6=""),"",IF(HKI!$B51="","",HKI!$B51))</f>
        <v/>
      </c>
      <c r="C51" s="124" t="str">
        <f>IF(OR($C$6="",$J$6="",$L$6=""),"",IF(HKI!$C51="","",HKI!$C51))</f>
        <v/>
      </c>
      <c r="D51" s="125" t="str">
        <f>IF(OR($C$6="",$J$6="",$L$6=""),"",IF(HKI!$D51="","",HKI!$D51))</f>
        <v/>
      </c>
      <c r="E51" s="665"/>
      <c r="F51" s="665"/>
      <c r="G51" s="665"/>
      <c r="H51" s="665"/>
      <c r="I51" s="665"/>
      <c r="J51" s="665"/>
      <c r="K51" s="665"/>
      <c r="L51" s="193"/>
      <c r="M51" s="194" t="str">
        <f t="shared" si="0"/>
        <v/>
      </c>
      <c r="N51" s="664" t="s">
        <v>1134</v>
      </c>
      <c r="O51" s="664"/>
    </row>
    <row r="52" spans="1:15" s="188" customFormat="1" ht="18" customHeight="1">
      <c r="A52" s="123" t="str">
        <f>IF(OR($C$6="",$J$6="",$L$6=""),"",IF($B52="","",SUBTOTAL(3,$B$11:B52)))</f>
        <v/>
      </c>
      <c r="B52" s="123" t="str">
        <f>IF(OR($C$6="",$J$6="",$L$6=""),"",IF(HKI!$B52="","",HKI!$B52))</f>
        <v/>
      </c>
      <c r="C52" s="124" t="str">
        <f>IF(OR($C$6="",$J$6="",$L$6=""),"",IF(HKI!$C52="","",HKI!$C52))</f>
        <v/>
      </c>
      <c r="D52" s="125" t="str">
        <f>IF(OR($C$6="",$J$6="",$L$6=""),"",IF(HKI!$D52="","",HKI!$D52))</f>
        <v/>
      </c>
      <c r="E52" s="665"/>
      <c r="F52" s="665"/>
      <c r="G52" s="665"/>
      <c r="H52" s="665"/>
      <c r="I52" s="665"/>
      <c r="J52" s="665"/>
      <c r="K52" s="665"/>
      <c r="L52" s="193"/>
      <c r="M52" s="194" t="str">
        <f t="shared" si="0"/>
        <v/>
      </c>
      <c r="N52" s="664" t="s">
        <v>1134</v>
      </c>
      <c r="O52" s="664"/>
    </row>
    <row r="53" spans="1:15" s="188" customFormat="1" ht="18" customHeight="1">
      <c r="A53" s="123" t="str">
        <f>IF(OR($C$6="",$J$6="",$L$6=""),"",IF($B53="","",SUBTOTAL(3,$B$11:B53)))</f>
        <v/>
      </c>
      <c r="B53" s="123" t="str">
        <f>IF(OR($C$6="",$J$6="",$L$6=""),"",IF(HKI!$B53="","",HKI!$B53))</f>
        <v/>
      </c>
      <c r="C53" s="124" t="str">
        <f>IF(OR($C$6="",$J$6="",$L$6=""),"",IF(HKI!$C53="","",HKI!$C53))</f>
        <v/>
      </c>
      <c r="D53" s="125" t="str">
        <f>IF(OR($C$6="",$J$6="",$L$6=""),"",IF(HKI!$D53="","",HKI!$D53))</f>
        <v/>
      </c>
      <c r="E53" s="665"/>
      <c r="F53" s="665"/>
      <c r="G53" s="665"/>
      <c r="H53" s="665"/>
      <c r="I53" s="665"/>
      <c r="J53" s="665"/>
      <c r="K53" s="665"/>
      <c r="L53" s="193"/>
      <c r="M53" s="194" t="str">
        <f t="shared" si="0"/>
        <v/>
      </c>
      <c r="N53" s="664" t="s">
        <v>1134</v>
      </c>
      <c r="O53" s="664"/>
    </row>
    <row r="54" spans="1:15" s="188" customFormat="1" ht="18" customHeight="1">
      <c r="A54" s="123" t="str">
        <f>IF(OR($C$6="",$J$6="",$L$6=""),"",IF($B54="","",SUBTOTAL(3,$B$11:B54)))</f>
        <v/>
      </c>
      <c r="B54" s="123" t="str">
        <f>IF(OR($C$6="",$J$6="",$L$6=""),"",IF(HKI!$B54="","",HKI!$B54))</f>
        <v/>
      </c>
      <c r="C54" s="124" t="str">
        <f>IF(OR($C$6="",$J$6="",$L$6=""),"",IF(HKI!$C54="","",HKI!$C54))</f>
        <v/>
      </c>
      <c r="D54" s="125" t="str">
        <f>IF(OR($C$6="",$J$6="",$L$6=""),"",IF(HKI!$D54="","",HKI!$D54))</f>
        <v/>
      </c>
      <c r="E54" s="665"/>
      <c r="F54" s="665"/>
      <c r="G54" s="665"/>
      <c r="H54" s="665"/>
      <c r="I54" s="665"/>
      <c r="J54" s="665"/>
      <c r="K54" s="665"/>
      <c r="L54" s="193"/>
      <c r="M54" s="194" t="str">
        <f t="shared" si="0"/>
        <v/>
      </c>
      <c r="N54" s="664" t="s">
        <v>1134</v>
      </c>
      <c r="O54" s="664"/>
    </row>
    <row r="55" spans="1:15" s="188" customFormat="1" ht="18" customHeight="1">
      <c r="A55" s="123" t="str">
        <f>IF(OR($C$6="",$J$6="",$L$6=""),"",IF($B55="","",SUBTOTAL(3,$B$11:B55)))</f>
        <v/>
      </c>
      <c r="B55" s="123" t="str">
        <f>IF(OR($C$6="",$J$6="",$L$6=""),"",IF(HKI!$B55="","",HKI!$B55))</f>
        <v/>
      </c>
      <c r="C55" s="124" t="str">
        <f>IF(OR($C$6="",$J$6="",$L$6=""),"",IF(HKI!$C55="","",HKI!$C55))</f>
        <v/>
      </c>
      <c r="D55" s="125" t="str">
        <f>IF(OR($C$6="",$J$6="",$L$6=""),"",IF(HKI!$D55="","",HKI!$D55))</f>
        <v/>
      </c>
      <c r="E55" s="665"/>
      <c r="F55" s="665"/>
      <c r="G55" s="665"/>
      <c r="H55" s="665"/>
      <c r="I55" s="665"/>
      <c r="J55" s="665"/>
      <c r="K55" s="665"/>
      <c r="L55" s="193"/>
      <c r="M55" s="194" t="str">
        <f t="shared" si="0"/>
        <v/>
      </c>
      <c r="N55" s="664" t="s">
        <v>1134</v>
      </c>
      <c r="O55" s="664"/>
    </row>
    <row r="56" spans="1:15" s="188" customFormat="1" ht="18" customHeight="1">
      <c r="A56" s="123" t="str">
        <f>IF(OR($C$6="",$J$6="",$L$6=""),"",IF($B56="","",SUBTOTAL(3,$B$11:B56)))</f>
        <v/>
      </c>
      <c r="B56" s="123" t="str">
        <f>IF(OR($C$6="",$J$6="",$L$6=""),"",IF(HKI!$B56="","",HKI!$B56))</f>
        <v/>
      </c>
      <c r="C56" s="124" t="str">
        <f>IF(OR($C$6="",$J$6="",$L$6=""),"",IF(HKI!$C56="","",HKI!$C56))</f>
        <v/>
      </c>
      <c r="D56" s="125" t="str">
        <f>IF(OR($C$6="",$J$6="",$L$6=""),"",IF(HKI!$D56="","",HKI!$D56))</f>
        <v/>
      </c>
      <c r="E56" s="665"/>
      <c r="F56" s="665"/>
      <c r="G56" s="665"/>
      <c r="H56" s="665"/>
      <c r="I56" s="665"/>
      <c r="J56" s="665"/>
      <c r="K56" s="665"/>
      <c r="L56" s="193"/>
      <c r="M56" s="194" t="str">
        <f t="shared" si="0"/>
        <v/>
      </c>
      <c r="N56" s="664" t="s">
        <v>1134</v>
      </c>
      <c r="O56" s="664"/>
    </row>
    <row r="57" spans="1:15" s="188" customFormat="1" ht="18" customHeight="1">
      <c r="A57" s="123" t="str">
        <f>IF(OR($C$6="",$J$6="",$L$6=""),"",IF($B57="","",SUBTOTAL(3,$B$11:B57)))</f>
        <v/>
      </c>
      <c r="B57" s="123" t="str">
        <f>IF(OR($C$6="",$J$6="",$L$6=""),"",IF(HKI!$B57="","",HKI!$B57))</f>
        <v/>
      </c>
      <c r="C57" s="124" t="str">
        <f>IF(OR($C$6="",$J$6="",$L$6=""),"",IF(HKI!$C57="","",HKI!$C57))</f>
        <v/>
      </c>
      <c r="D57" s="125" t="str">
        <f>IF(OR($C$6="",$J$6="",$L$6=""),"",IF(HKI!$D57="","",HKI!$D57))</f>
        <v/>
      </c>
      <c r="E57" s="665"/>
      <c r="F57" s="665"/>
      <c r="G57" s="665"/>
      <c r="H57" s="665"/>
      <c r="I57" s="665"/>
      <c r="J57" s="665"/>
      <c r="K57" s="665"/>
      <c r="L57" s="193"/>
      <c r="M57" s="194" t="str">
        <f t="shared" si="0"/>
        <v/>
      </c>
      <c r="N57" s="664" t="s">
        <v>1134</v>
      </c>
      <c r="O57" s="664"/>
    </row>
    <row r="58" spans="1:15" s="188" customFormat="1" ht="18" customHeight="1">
      <c r="A58" s="123" t="str">
        <f>IF(OR($C$6="",$J$6="",$L$6=""),"",IF($B58="","",SUBTOTAL(3,$B$11:B58)))</f>
        <v/>
      </c>
      <c r="B58" s="123" t="str">
        <f>IF(OR($C$6="",$J$6="",$L$6=""),"",IF(HKI!$B58="","",HKI!$B58))</f>
        <v/>
      </c>
      <c r="C58" s="124" t="str">
        <f>IF(OR($C$6="",$J$6="",$L$6=""),"",IF(HKI!$C58="","",HKI!$C58))</f>
        <v/>
      </c>
      <c r="D58" s="125" t="str">
        <f>IF(OR($C$6="",$J$6="",$L$6=""),"",IF(HKI!$D58="","",HKI!$D58))</f>
        <v/>
      </c>
      <c r="E58" s="665"/>
      <c r="F58" s="665"/>
      <c r="G58" s="665"/>
      <c r="H58" s="665"/>
      <c r="I58" s="665"/>
      <c r="J58" s="665"/>
      <c r="K58" s="665"/>
      <c r="L58" s="193"/>
      <c r="M58" s="194" t="str">
        <f t="shared" si="0"/>
        <v/>
      </c>
      <c r="N58" s="664" t="s">
        <v>1134</v>
      </c>
      <c r="O58" s="664"/>
    </row>
    <row r="59" spans="1:15" s="188" customFormat="1" ht="18" customHeight="1">
      <c r="A59" s="123" t="str">
        <f>IF(OR($C$6="",$J$6="",$L$6=""),"",IF($B59="","",SUBTOTAL(3,$B$11:B59)))</f>
        <v/>
      </c>
      <c r="B59" s="123" t="str">
        <f>IF(OR($C$6="",$J$6="",$L$6=""),"",IF(HKI!$B59="","",HKI!$B59))</f>
        <v/>
      </c>
      <c r="C59" s="124" t="str">
        <f>IF(OR($C$6="",$J$6="",$L$6=""),"",IF(HKI!$C59="","",HKI!$C59))</f>
        <v/>
      </c>
      <c r="D59" s="125" t="str">
        <f>IF(OR($C$6="",$J$6="",$L$6=""),"",IF(HKI!$D59="","",HKI!$D59))</f>
        <v/>
      </c>
      <c r="E59" s="665"/>
      <c r="F59" s="665"/>
      <c r="G59" s="665"/>
      <c r="H59" s="665"/>
      <c r="I59" s="665"/>
      <c r="J59" s="665"/>
      <c r="K59" s="665"/>
      <c r="L59" s="193"/>
      <c r="M59" s="194" t="str">
        <f t="shared" si="0"/>
        <v/>
      </c>
      <c r="N59" s="664" t="s">
        <v>1134</v>
      </c>
      <c r="O59" s="664"/>
    </row>
    <row r="60" spans="1:15" s="188" customFormat="1" ht="18" customHeight="1">
      <c r="A60" s="123" t="str">
        <f>IF(OR($C$6="",$J$6="",$L$6=""),"",IF($B60="","",SUBTOTAL(3,$B$11:B60)))</f>
        <v/>
      </c>
      <c r="B60" s="123" t="str">
        <f>IF(OR($C$6="",$J$6="",$L$6=""),"",IF(HKI!$B60="","",HKI!$B60))</f>
        <v/>
      </c>
      <c r="C60" s="124" t="str">
        <f>IF(OR($C$6="",$J$6="",$L$6=""),"",IF(HKI!$C60="","",HKI!$C60))</f>
        <v/>
      </c>
      <c r="D60" s="125" t="str">
        <f>IF(OR($C$6="",$J$6="",$L$6=""),"",IF(HKI!$D60="","",HKI!$D60))</f>
        <v/>
      </c>
      <c r="E60" s="665"/>
      <c r="F60" s="665"/>
      <c r="G60" s="665"/>
      <c r="H60" s="665"/>
      <c r="I60" s="665"/>
      <c r="J60" s="665"/>
      <c r="K60" s="665"/>
      <c r="L60" s="193"/>
      <c r="M60" s="194" t="str">
        <f t="shared" si="0"/>
        <v/>
      </c>
      <c r="N60" s="664" t="s">
        <v>1134</v>
      </c>
      <c r="O60" s="664"/>
    </row>
    <row r="61" spans="1:15" s="188" customFormat="1" ht="18" customHeight="1">
      <c r="A61" s="123" t="str">
        <f>IF(OR($C$6="",$J$6="",$L$6=""),"",IF($B61="","",SUBTOTAL(3,$B$11:B61)))</f>
        <v/>
      </c>
      <c r="B61" s="123" t="str">
        <f>IF(OR($C$6="",$J$6="",$L$6=""),"",IF(HKI!$B61="","",HKI!$B61))</f>
        <v/>
      </c>
      <c r="C61" s="124" t="str">
        <f>IF(OR($C$6="",$J$6="",$L$6=""),"",IF(HKI!$C61="","",HKI!$C61))</f>
        <v/>
      </c>
      <c r="D61" s="125" t="str">
        <f>IF(OR($C$6="",$J$6="",$L$6=""),"",IF(HKI!$D61="","",HKI!$D61))</f>
        <v/>
      </c>
      <c r="E61" s="665"/>
      <c r="F61" s="665"/>
      <c r="G61" s="665"/>
      <c r="H61" s="665"/>
      <c r="I61" s="665"/>
      <c r="J61" s="665"/>
      <c r="K61" s="665"/>
      <c r="L61" s="193"/>
      <c r="M61" s="194" t="str">
        <f t="shared" si="0"/>
        <v/>
      </c>
      <c r="N61" s="664" t="s">
        <v>1134</v>
      </c>
      <c r="O61" s="664"/>
    </row>
    <row r="62" spans="1:15" s="188" customFormat="1" ht="18" customHeight="1">
      <c r="A62" s="123" t="str">
        <f>IF(OR($C$6="",$J$6="",$L$6=""),"",IF($B62="","",SUBTOTAL(3,$B$11:B62)))</f>
        <v/>
      </c>
      <c r="B62" s="123" t="str">
        <f>IF(OR($C$6="",$J$6="",$L$6=""),"",IF(HKI!$B62="","",HKI!$B62))</f>
        <v/>
      </c>
      <c r="C62" s="124" t="str">
        <f>IF(OR($C$6="",$J$6="",$L$6=""),"",IF(HKI!$C62="","",HKI!$C62))</f>
        <v/>
      </c>
      <c r="D62" s="125" t="str">
        <f>IF(OR($C$6="",$J$6="",$L$6=""),"",IF(HKI!$D62="","",HKI!$D62))</f>
        <v/>
      </c>
      <c r="E62" s="665"/>
      <c r="F62" s="665"/>
      <c r="G62" s="665"/>
      <c r="H62" s="665"/>
      <c r="I62" s="665"/>
      <c r="J62" s="665"/>
      <c r="K62" s="665"/>
      <c r="L62" s="193"/>
      <c r="M62" s="194" t="str">
        <f t="shared" si="0"/>
        <v/>
      </c>
      <c r="N62" s="664" t="s">
        <v>1134</v>
      </c>
      <c r="O62" s="664"/>
    </row>
    <row r="63" spans="1:15" s="188" customFormat="1" ht="18" customHeight="1">
      <c r="A63" s="123" t="str">
        <f>IF(OR($C$6="",$J$6="",$L$6=""),"",IF($B63="","",SUBTOTAL(3,$B$11:B63)))</f>
        <v/>
      </c>
      <c r="B63" s="123" t="str">
        <f>IF(OR($C$6="",$J$6="",$L$6=""),"",IF(HKI!$B63="","",HKI!$B63))</f>
        <v/>
      </c>
      <c r="C63" s="124" t="str">
        <f>IF(OR($C$6="",$J$6="",$L$6=""),"",IF(HKI!$C63="","",HKI!$C63))</f>
        <v/>
      </c>
      <c r="D63" s="125" t="str">
        <f>IF(OR($C$6="",$J$6="",$L$6=""),"",IF(HKI!$D63="","",HKI!$D63))</f>
        <v/>
      </c>
      <c r="E63" s="665"/>
      <c r="F63" s="665"/>
      <c r="G63" s="665"/>
      <c r="H63" s="665"/>
      <c r="I63" s="665"/>
      <c r="J63" s="665"/>
      <c r="K63" s="665"/>
      <c r="L63" s="193"/>
      <c r="M63" s="194" t="str">
        <f t="shared" si="0"/>
        <v/>
      </c>
      <c r="N63" s="664" t="s">
        <v>1134</v>
      </c>
      <c r="O63" s="664"/>
    </row>
    <row r="64" spans="1:15" s="188" customFormat="1" ht="18" customHeight="1">
      <c r="A64" s="123" t="str">
        <f>IF(OR($C$6="",$J$6="",$L$6=""),"",IF($B64="","",SUBTOTAL(3,$B$11:B64)))</f>
        <v/>
      </c>
      <c r="B64" s="123" t="str">
        <f>IF(OR($C$6="",$J$6="",$L$6=""),"",IF(HKI!$B64="","",HKI!$B64))</f>
        <v/>
      </c>
      <c r="C64" s="124" t="str">
        <f>IF(OR($C$6="",$J$6="",$L$6=""),"",IF(HKI!$C64="","",HKI!$C64))</f>
        <v/>
      </c>
      <c r="D64" s="125" t="str">
        <f>IF(OR($C$6="",$J$6="",$L$6=""),"",IF(HKI!$D64="","",HKI!$D64))</f>
        <v/>
      </c>
      <c r="E64" s="665"/>
      <c r="F64" s="665"/>
      <c r="G64" s="665"/>
      <c r="H64" s="665"/>
      <c r="I64" s="665"/>
      <c r="J64" s="665"/>
      <c r="K64" s="665"/>
      <c r="L64" s="193"/>
      <c r="M64" s="194" t="str">
        <f t="shared" si="0"/>
        <v/>
      </c>
      <c r="N64" s="664" t="s">
        <v>1134</v>
      </c>
      <c r="O64" s="664"/>
    </row>
    <row r="65" spans="1:15" s="188" customFormat="1" ht="18" customHeight="1">
      <c r="A65" s="123" t="str">
        <f>IF(OR($C$6="",$J$6="",$L$6=""),"",IF($B65="","",SUBTOTAL(3,$B$11:B65)))</f>
        <v/>
      </c>
      <c r="B65" s="123" t="str">
        <f>IF(OR($C$6="",$J$6="",$L$6=""),"",IF(HKI!$B65="","",HKI!$B65))</f>
        <v/>
      </c>
      <c r="C65" s="124" t="str">
        <f>IF(OR($C$6="",$J$6="",$L$6=""),"",IF(HKI!$C65="","",HKI!$C65))</f>
        <v/>
      </c>
      <c r="D65" s="125" t="str">
        <f>IF(OR($C$6="",$J$6="",$L$6=""),"",IF(HKI!$D65="","",HKI!$D65))</f>
        <v/>
      </c>
      <c r="E65" s="665"/>
      <c r="F65" s="665"/>
      <c r="G65" s="665"/>
      <c r="H65" s="665"/>
      <c r="I65" s="665"/>
      <c r="J65" s="665"/>
      <c r="K65" s="665"/>
      <c r="L65" s="193"/>
      <c r="M65" s="194" t="str">
        <f t="shared" si="0"/>
        <v/>
      </c>
      <c r="N65" s="664" t="s">
        <v>1134</v>
      </c>
      <c r="O65" s="664"/>
    </row>
    <row r="66" spans="1:15" s="188" customFormat="1" ht="18" customHeight="1">
      <c r="A66" s="123" t="str">
        <f>IF(OR($C$6="",$J$6="",$L$6=""),"",IF($B66="","",SUBTOTAL(3,$B$11:B66)))</f>
        <v/>
      </c>
      <c r="B66" s="123" t="str">
        <f>IF(OR($C$6="",$J$6="",$L$6=""),"",IF(HKI!$B66="","",HKI!$B66))</f>
        <v/>
      </c>
      <c r="C66" s="124" t="str">
        <f>IF(OR($C$6="",$J$6="",$L$6=""),"",IF(HKI!$C66="","",HKI!$C66))</f>
        <v/>
      </c>
      <c r="D66" s="125" t="str">
        <f>IF(OR($C$6="",$J$6="",$L$6=""),"",IF(HKI!$D66="","",HKI!$D66))</f>
        <v/>
      </c>
      <c r="E66" s="665"/>
      <c r="F66" s="665"/>
      <c r="G66" s="665"/>
      <c r="H66" s="665"/>
      <c r="I66" s="665"/>
      <c r="J66" s="665"/>
      <c r="K66" s="665"/>
      <c r="L66" s="193"/>
      <c r="M66" s="194" t="str">
        <f t="shared" si="0"/>
        <v/>
      </c>
      <c r="N66" s="664" t="s">
        <v>1134</v>
      </c>
      <c r="O66" s="664"/>
    </row>
    <row r="67" spans="1:15" s="188" customFormat="1" ht="18" customHeight="1">
      <c r="A67" s="123" t="str">
        <f>IF(OR($C$6="",$J$6="",$L$6=""),"",IF($B67="","",SUBTOTAL(3,$B$11:B67)))</f>
        <v/>
      </c>
      <c r="B67" s="123" t="str">
        <f>IF(OR($C$6="",$J$6="",$L$6=""),"",IF(HKI!$B67="","",HKI!$B67))</f>
        <v/>
      </c>
      <c r="C67" s="124" t="str">
        <f>IF(OR($C$6="",$J$6="",$L$6=""),"",IF(HKI!$C67="","",HKI!$C67))</f>
        <v/>
      </c>
      <c r="D67" s="125" t="str">
        <f>IF(OR($C$6="",$J$6="",$L$6=""),"",IF(HKI!$D67="","",HKI!$D67))</f>
        <v/>
      </c>
      <c r="E67" s="665"/>
      <c r="F67" s="665"/>
      <c r="G67" s="665"/>
      <c r="H67" s="665"/>
      <c r="I67" s="665"/>
      <c r="J67" s="665"/>
      <c r="K67" s="665"/>
      <c r="L67" s="193"/>
      <c r="M67" s="194" t="str">
        <f t="shared" si="0"/>
        <v/>
      </c>
      <c r="N67" s="664" t="s">
        <v>1134</v>
      </c>
      <c r="O67" s="664"/>
    </row>
    <row r="68" spans="1:15" s="188" customFormat="1" ht="18" customHeight="1">
      <c r="A68" s="123" t="str">
        <f>IF(OR($C$6="",$J$6="",$L$6=""),"",IF($B68="","",SUBTOTAL(3,$B$11:B68)))</f>
        <v/>
      </c>
      <c r="B68" s="123" t="str">
        <f>IF(OR($C$6="",$J$6="",$L$6=""),"",IF(HKI!$B68="","",HKI!$B68))</f>
        <v/>
      </c>
      <c r="C68" s="124" t="str">
        <f>IF(OR($C$6="",$J$6="",$L$6=""),"",IF(HKI!$C68="","",HKI!$C68))</f>
        <v/>
      </c>
      <c r="D68" s="125" t="str">
        <f>IF(OR($C$6="",$J$6="",$L$6=""),"",IF(HKI!$D68="","",HKI!$D68))</f>
        <v/>
      </c>
      <c r="E68" s="665"/>
      <c r="F68" s="665"/>
      <c r="G68" s="665"/>
      <c r="H68" s="665"/>
      <c r="I68" s="665"/>
      <c r="J68" s="665"/>
      <c r="K68" s="665"/>
      <c r="L68" s="193"/>
      <c r="M68" s="194" t="str">
        <f t="shared" si="0"/>
        <v/>
      </c>
      <c r="N68" s="664" t="s">
        <v>1134</v>
      </c>
      <c r="O68" s="664"/>
    </row>
    <row r="69" spans="1:15" s="188" customFormat="1" ht="18" customHeight="1">
      <c r="A69" s="123" t="str">
        <f>IF(OR($C$6="",$J$6="",$L$6=""),"",IF($B69="","",SUBTOTAL(3,$B$11:B69)))</f>
        <v/>
      </c>
      <c r="B69" s="123" t="str">
        <f>IF(OR($C$6="",$J$6="",$L$6=""),"",IF(HKI!$B69="","",HKI!$B69))</f>
        <v/>
      </c>
      <c r="C69" s="124" t="str">
        <f>IF(OR($C$6="",$J$6="",$L$6=""),"",IF(HKI!$C69="","",HKI!$C69))</f>
        <v/>
      </c>
      <c r="D69" s="125" t="str">
        <f>IF(OR($C$6="",$J$6="",$L$6=""),"",IF(HKI!$D69="","",HKI!$D69))</f>
        <v/>
      </c>
      <c r="E69" s="665"/>
      <c r="F69" s="665"/>
      <c r="G69" s="665"/>
      <c r="H69" s="665"/>
      <c r="I69" s="665"/>
      <c r="J69" s="665"/>
      <c r="K69" s="665"/>
      <c r="L69" s="193"/>
      <c r="M69" s="194" t="str">
        <f t="shared" si="0"/>
        <v/>
      </c>
      <c r="N69" s="664" t="s">
        <v>1134</v>
      </c>
      <c r="O69" s="664"/>
    </row>
    <row r="70" spans="1:15" s="188" customFormat="1" ht="18" customHeight="1">
      <c r="A70" s="123" t="str">
        <f>IF(OR($C$6="",$J$6="",$L$6=""),"",IF($B70="","",SUBTOTAL(3,$B$11:B70)))</f>
        <v/>
      </c>
      <c r="B70" s="123" t="str">
        <f>IF(OR($C$6="",$J$6="",$L$6=""),"",IF(HKI!$B70="","",HKI!$B70))</f>
        <v/>
      </c>
      <c r="C70" s="124" t="str">
        <f>IF(OR($C$6="",$J$6="",$L$6=""),"",IF(HKI!$C70="","",HKI!$C70))</f>
        <v/>
      </c>
      <c r="D70" s="125" t="str">
        <f>IF(OR($C$6="",$J$6="",$L$6=""),"",IF(HKI!$D70="","",HKI!$D70))</f>
        <v/>
      </c>
      <c r="E70" s="665"/>
      <c r="F70" s="665"/>
      <c r="G70" s="665"/>
      <c r="H70" s="665"/>
      <c r="I70" s="665"/>
      <c r="J70" s="665"/>
      <c r="K70" s="665"/>
      <c r="L70" s="193"/>
      <c r="M70" s="194" t="str">
        <f t="shared" si="0"/>
        <v/>
      </c>
      <c r="N70" s="664" t="s">
        <v>1134</v>
      </c>
      <c r="O70" s="664"/>
    </row>
    <row r="71" spans="1:15" s="188" customFormat="1" ht="18" customHeight="1">
      <c r="A71" s="123" t="str">
        <f>IF(OR($C$6="",$J$6="",$L$6=""),"",IF($B71="","",SUBTOTAL(3,$B$11:B71)))</f>
        <v/>
      </c>
      <c r="B71" s="123" t="str">
        <f>IF(OR($C$6="",$J$6="",$L$6=""),"",IF(HKI!$B71="","",HKI!$B71))</f>
        <v/>
      </c>
      <c r="C71" s="124" t="str">
        <f>IF(OR($C$6="",$J$6="",$L$6=""),"",IF(HKI!$C71="","",HKI!$C71))</f>
        <v/>
      </c>
      <c r="D71" s="125" t="str">
        <f>IF(OR($C$6="",$J$6="",$L$6=""),"",IF(HKI!$D71="","",HKI!$D71))</f>
        <v/>
      </c>
      <c r="E71" s="665"/>
      <c r="F71" s="665"/>
      <c r="G71" s="665"/>
      <c r="H71" s="665"/>
      <c r="I71" s="665"/>
      <c r="J71" s="665"/>
      <c r="K71" s="665"/>
      <c r="L71" s="193"/>
      <c r="M71" s="194" t="str">
        <f t="shared" si="0"/>
        <v/>
      </c>
      <c r="N71" s="664" t="s">
        <v>1134</v>
      </c>
      <c r="O71" s="664"/>
    </row>
    <row r="72" spans="1:15" s="188" customFormat="1" ht="18" customHeight="1">
      <c r="A72" s="123" t="str">
        <f>IF(OR($C$6="",$J$6="",$L$6=""),"",IF($B72="","",SUBTOTAL(3,$B$11:B72)))</f>
        <v/>
      </c>
      <c r="B72" s="123" t="str">
        <f>IF(OR($C$6="",$J$6="",$L$6=""),"",IF(HKI!$B72="","",HKI!$B72))</f>
        <v/>
      </c>
      <c r="C72" s="124" t="str">
        <f>IF(OR($C$6="",$J$6="",$L$6=""),"",IF(HKI!$C72="","",HKI!$C72))</f>
        <v/>
      </c>
      <c r="D72" s="125" t="str">
        <f>IF(OR($C$6="",$J$6="",$L$6=""),"",IF(HKI!$D72="","",HKI!$D72))</f>
        <v/>
      </c>
      <c r="E72" s="665"/>
      <c r="F72" s="665"/>
      <c r="G72" s="665"/>
      <c r="H72" s="665"/>
      <c r="I72" s="665"/>
      <c r="J72" s="665"/>
      <c r="K72" s="665"/>
      <c r="L72" s="193"/>
      <c r="M72" s="194" t="str">
        <f t="shared" si="0"/>
        <v/>
      </c>
      <c r="N72" s="664" t="s">
        <v>1134</v>
      </c>
      <c r="O72" s="664"/>
    </row>
    <row r="73" spans="1:15" s="188" customFormat="1" ht="18" customHeight="1">
      <c r="A73" s="123" t="str">
        <f>IF(OR($C$6="",$J$6="",$L$6=""),"",IF($B73="","",SUBTOTAL(3,$B$11:B73)))</f>
        <v/>
      </c>
      <c r="B73" s="123" t="str">
        <f>IF(OR($C$6="",$J$6="",$L$6=""),"",IF(HKI!$B73="","",HKI!$B73))</f>
        <v/>
      </c>
      <c r="C73" s="124" t="str">
        <f>IF(OR($C$6="",$J$6="",$L$6=""),"",IF(HKI!$C73="","",HKI!$C73))</f>
        <v/>
      </c>
      <c r="D73" s="125" t="str">
        <f>IF(OR($C$6="",$J$6="",$L$6=""),"",IF(HKI!$D73="","",HKI!$D73))</f>
        <v/>
      </c>
      <c r="E73" s="665"/>
      <c r="F73" s="665"/>
      <c r="G73" s="665"/>
      <c r="H73" s="665"/>
      <c r="I73" s="665"/>
      <c r="J73" s="665"/>
      <c r="K73" s="665"/>
      <c r="L73" s="193"/>
      <c r="M73" s="194" t="str">
        <f t="shared" si="0"/>
        <v/>
      </c>
      <c r="N73" s="664" t="s">
        <v>1134</v>
      </c>
      <c r="O73" s="664"/>
    </row>
    <row r="74" spans="1:15" s="188" customFormat="1" ht="18" customHeight="1">
      <c r="A74" s="123" t="str">
        <f>IF(OR($C$6="",$J$6="",$L$6=""),"",IF($B74="","",SUBTOTAL(3,$B$11:B74)))</f>
        <v/>
      </c>
      <c r="B74" s="123" t="str">
        <f>IF(OR($C$6="",$J$6="",$L$6=""),"",IF(HKI!$B74="","",HKI!$B74))</f>
        <v/>
      </c>
      <c r="C74" s="124" t="str">
        <f>IF(OR($C$6="",$J$6="",$L$6=""),"",IF(HKI!$C74="","",HKI!$C74))</f>
        <v/>
      </c>
      <c r="D74" s="125" t="str">
        <f>IF(OR($C$6="",$J$6="",$L$6=""),"",IF(HKI!$D74="","",HKI!$D74))</f>
        <v/>
      </c>
      <c r="E74" s="665"/>
      <c r="F74" s="665"/>
      <c r="G74" s="665"/>
      <c r="H74" s="665"/>
      <c r="I74" s="665"/>
      <c r="J74" s="665"/>
      <c r="K74" s="665"/>
      <c r="L74" s="193"/>
      <c r="M74" s="194" t="str">
        <f t="shared" si="0"/>
        <v/>
      </c>
      <c r="N74" s="664" t="s">
        <v>1134</v>
      </c>
      <c r="O74" s="664"/>
    </row>
    <row r="75" spans="1:15" s="188" customFormat="1" ht="18" customHeight="1">
      <c r="A75" s="123" t="str">
        <f>IF(OR($C$6="",$J$6="",$L$6=""),"",IF($B75="","",SUBTOTAL(3,$B$11:B75)))</f>
        <v/>
      </c>
      <c r="B75" s="123" t="str">
        <f>IF(OR($C$6="",$J$6="",$L$6=""),"",IF(HKI!$B75="","",HKI!$B75))</f>
        <v/>
      </c>
      <c r="C75" s="124" t="str">
        <f>IF(OR($C$6="",$J$6="",$L$6=""),"",IF(HKI!$C75="","",HKI!$C75))</f>
        <v/>
      </c>
      <c r="D75" s="125" t="str">
        <f>IF(OR($C$6="",$J$6="",$L$6=""),"",IF(HKI!$D75="","",HKI!$D75))</f>
        <v/>
      </c>
      <c r="E75" s="665"/>
      <c r="F75" s="665"/>
      <c r="G75" s="665"/>
      <c r="H75" s="665"/>
      <c r="I75" s="665"/>
      <c r="J75" s="665"/>
      <c r="K75" s="665"/>
      <c r="L75" s="193"/>
      <c r="M75" s="194" t="str">
        <f t="shared" si="0"/>
        <v/>
      </c>
      <c r="N75" s="664" t="s">
        <v>1134</v>
      </c>
      <c r="O75" s="664"/>
    </row>
    <row r="76" spans="1:15" s="188" customFormat="1" ht="18" customHeight="1">
      <c r="A76" s="123" t="str">
        <f>IF(OR($C$6="",$J$6="",$L$6=""),"",IF($B76="","",SUBTOTAL(3,$B$11:B76)))</f>
        <v/>
      </c>
      <c r="B76" s="123" t="str">
        <f>IF(OR($C$6="",$J$6="",$L$6=""),"",IF(HKI!$B76="","",HKI!$B76))</f>
        <v/>
      </c>
      <c r="C76" s="124" t="str">
        <f>IF(OR($C$6="",$J$6="",$L$6=""),"",IF(HKI!$C76="","",HKI!$C76))</f>
        <v/>
      </c>
      <c r="D76" s="125" t="str">
        <f>IF(OR($C$6="",$J$6="",$L$6=""),"",IF(HKI!$D76="","",HKI!$D76))</f>
        <v/>
      </c>
      <c r="E76" s="665"/>
      <c r="F76" s="665"/>
      <c r="G76" s="665"/>
      <c r="H76" s="665"/>
      <c r="I76" s="665"/>
      <c r="J76" s="665"/>
      <c r="K76" s="665"/>
      <c r="L76" s="193"/>
      <c r="M76" s="194" t="str">
        <f>IF($B76="","",IF($L76="","KXL",IF($L76&lt;4,"Kém",IF($L76&lt;5.5,"TB Yếu",IF($L76&lt;7,"T.Bình",IF($L76&lt;8.5,"Khá","Giỏi"))))))</f>
        <v/>
      </c>
      <c r="N76" s="664" t="s">
        <v>1134</v>
      </c>
      <c r="O76" s="664"/>
    </row>
    <row r="77" spans="1:15" s="188" customFormat="1" ht="18" customHeight="1">
      <c r="A77" s="123" t="str">
        <f>IF(OR($C$6="",$J$6="",$L$6=""),"",IF($B77="","",SUBTOTAL(3,$B$11:B77)))</f>
        <v/>
      </c>
      <c r="B77" s="123" t="str">
        <f>IF(OR($C$6="",$J$6="",$L$6=""),"",IF(HKI!$B77="","",HKI!$B77))</f>
        <v/>
      </c>
      <c r="C77" s="124" t="str">
        <f>IF(OR($C$6="",$J$6="",$L$6=""),"",IF(HKI!$C77="","",HKI!$C77))</f>
        <v/>
      </c>
      <c r="D77" s="125" t="str">
        <f>IF(OR($C$6="",$J$6="",$L$6=""),"",IF(HKI!$D77="","",HKI!$D77))</f>
        <v/>
      </c>
      <c r="E77" s="665"/>
      <c r="F77" s="665"/>
      <c r="G77" s="665"/>
      <c r="H77" s="665"/>
      <c r="I77" s="665"/>
      <c r="J77" s="665"/>
      <c r="K77" s="665"/>
      <c r="L77" s="193"/>
      <c r="M77" s="194" t="str">
        <f>IF($B77="","",IF($L77="","KXL",IF($L77&lt;4,"Kém",IF($L77&lt;5.5,"TB Yếu",IF($L77&lt;7,"T.Bình",IF($L77&lt;8.5,"Khá","Giỏi"))))))</f>
        <v/>
      </c>
      <c r="N77" s="664" t="s">
        <v>1134</v>
      </c>
      <c r="O77" s="664"/>
    </row>
    <row r="78" spans="1:15" s="188" customFormat="1" ht="18" customHeight="1">
      <c r="A78" s="123" t="str">
        <f>IF(OR($C$6="",$J$6="",$L$6=""),"",IF($B78="","",SUBTOTAL(3,$B$11:B78)))</f>
        <v/>
      </c>
      <c r="B78" s="123" t="str">
        <f>IF(OR($C$6="",$J$6="",$L$6=""),"",IF(HKI!$B78="","",HKI!$B78))</f>
        <v/>
      </c>
      <c r="C78" s="124" t="str">
        <f>IF(OR($C$6="",$J$6="",$L$6=""),"",IF(HKI!$C78="","",HKI!$C78))</f>
        <v/>
      </c>
      <c r="D78" s="125" t="str">
        <f>IF(OR($C$6="",$J$6="",$L$6=""),"",IF(HKI!$D78="","",HKI!$D78))</f>
        <v/>
      </c>
      <c r="E78" s="665"/>
      <c r="F78" s="665"/>
      <c r="G78" s="665"/>
      <c r="H78" s="665"/>
      <c r="I78" s="665"/>
      <c r="J78" s="665"/>
      <c r="K78" s="665"/>
      <c r="L78" s="193"/>
      <c r="M78" s="194" t="str">
        <f>IF($B78="","",IF($L78="","KXL",IF($L78&lt;4,"Kém",IF($L78&lt;5.5,"TB Yếu",IF($L78&lt;7,"T.Bình",IF($L78&lt;8.5,"Khá","Giỏi"))))))</f>
        <v/>
      </c>
      <c r="N78" s="664" t="s">
        <v>1134</v>
      </c>
      <c r="O78" s="664"/>
    </row>
    <row r="79" spans="1:15" s="188" customFormat="1" ht="18" customHeight="1">
      <c r="A79" s="123" t="str">
        <f>IF(OR($C$6="",$J$6="",$L$6=""),"",IF($B79="","",SUBTOTAL(3,$B$11:B79)))</f>
        <v/>
      </c>
      <c r="B79" s="123" t="str">
        <f>IF(OR($C$6="",$J$6="",$L$6=""),"",IF(HKI!$B79="","",HKI!$B79))</f>
        <v/>
      </c>
      <c r="C79" s="124" t="str">
        <f>IF(OR($C$6="",$J$6="",$L$6=""),"",IF(HKI!$C79="","",HKI!$C79))</f>
        <v/>
      </c>
      <c r="D79" s="125" t="str">
        <f>IF(OR($C$6="",$J$6="",$L$6=""),"",IF(HKI!$D79="","",HKI!$D79))</f>
        <v/>
      </c>
      <c r="E79" s="665"/>
      <c r="F79" s="665"/>
      <c r="G79" s="665"/>
      <c r="H79" s="665"/>
      <c r="I79" s="665"/>
      <c r="J79" s="665"/>
      <c r="K79" s="665"/>
      <c r="L79" s="193"/>
      <c r="M79" s="194" t="str">
        <f>IF($B79="","",IF($L79="","KXL",IF($L79&lt;4,"Kém",IF($L79&lt;5.5,"TB Yếu",IF($L79&lt;7,"T.Bình",IF($L79&lt;8.5,"Khá","Giỏi"))))))</f>
        <v/>
      </c>
      <c r="N79" s="664" t="s">
        <v>1134</v>
      </c>
      <c r="O79" s="664"/>
    </row>
    <row r="80" spans="1:15" s="188" customFormat="1" ht="18" customHeight="1">
      <c r="A80" s="123" t="str">
        <f>IF(OR($C$6="",$J$6="",$L$6=""),"",IF($B80="","",SUBTOTAL(3,$B$11:B80)))</f>
        <v/>
      </c>
      <c r="B80" s="123" t="str">
        <f>IF(OR($C$6="",$J$6="",$L$6=""),"",IF(HKI!$B80="","",HKI!$B80))</f>
        <v/>
      </c>
      <c r="C80" s="124" t="str">
        <f>IF(OR($C$6="",$J$6="",$L$6=""),"",IF(HKI!$C80="","",HKI!$C80))</f>
        <v/>
      </c>
      <c r="D80" s="125" t="str">
        <f>IF(OR($C$6="",$J$6="",$L$6=""),"",IF(HKI!$D80="","",HKI!$D80))</f>
        <v/>
      </c>
      <c r="E80" s="665"/>
      <c r="F80" s="665"/>
      <c r="G80" s="665"/>
      <c r="H80" s="665"/>
      <c r="I80" s="665"/>
      <c r="J80" s="665"/>
      <c r="K80" s="665"/>
      <c r="L80" s="193"/>
      <c r="M80" s="194" t="str">
        <f>IF($B80="","",IF($L80="","KXL",IF($L80&lt;4,"Kém",IF($L80&lt;5.5,"TB Yếu",IF($L80&lt;7,"T.Bình",IF($L80&lt;8.5,"Khá","Giỏi"))))))</f>
        <v/>
      </c>
      <c r="N80" s="664" t="s">
        <v>1134</v>
      </c>
      <c r="O80" s="664"/>
    </row>
    <row r="81" spans="1:16" s="146" customFormat="1" ht="17.25" customHeight="1">
      <c r="A81" s="653" t="s">
        <v>1459</v>
      </c>
      <c r="B81" s="653"/>
      <c r="C81" s="653"/>
      <c r="D81" s="653"/>
      <c r="E81" s="653"/>
      <c r="F81" s="653"/>
      <c r="G81" s="653"/>
      <c r="H81" s="653"/>
      <c r="I81" s="653"/>
      <c r="J81" s="653"/>
      <c r="K81" s="653"/>
      <c r="L81" s="653"/>
      <c r="M81" s="653"/>
      <c r="N81" s="163"/>
      <c r="O81" s="56"/>
      <c r="P81" s="56"/>
    </row>
    <row r="82" spans="1:16" s="146" customFormat="1" ht="14.1" customHeight="1">
      <c r="A82" s="136"/>
      <c r="B82" s="651" t="str">
        <f>"Tổng danh sách có"</f>
        <v>Tổng danh sách có</v>
      </c>
      <c r="C82" s="651"/>
      <c r="D82" s="651"/>
      <c r="E82" s="651"/>
      <c r="F82" s="176" t="str">
        <f>": "&amp;MAX($A$11:$A$80)&amp;" SV"</f>
        <v>: 0 SV</v>
      </c>
      <c r="K82" s="147"/>
      <c r="L82" s="147"/>
      <c r="M82" s="147"/>
      <c r="N82" s="147"/>
      <c r="O82" s="136"/>
    </row>
    <row r="83" spans="1:16" s="146" customFormat="1" ht="14.1" customHeight="1">
      <c r="A83" s="148"/>
      <c r="B83" s="643" t="str">
        <f>"Tổng số SV có điểm Giỏi từ 8,5 đ đến 10 đ"</f>
        <v>Tổng số SV có điểm Giỏi từ 8,5 đ đến 10 đ</v>
      </c>
      <c r="C83" s="643"/>
      <c r="D83" s="643"/>
      <c r="E83" s="643"/>
      <c r="F83" s="153" t="str">
        <f>": "&amp;COUNTIF($M$11:$M$80,"Giỏi")&amp;" SV"</f>
        <v>: 0 SV</v>
      </c>
      <c r="H83" s="153" t="str">
        <f>IF(B21="","","("&amp;ROUND(COUNTIF($O$11:$O$80,"Giỏi")*100/MAX($A$11:$A$78),2)&amp;"%" &amp;")")</f>
        <v/>
      </c>
      <c r="I83" s="153"/>
      <c r="J83" s="153"/>
      <c r="K83" s="645" t="str">
        <f>IF(B11="","","Tổng số SV có điểm &gt;= 4 đ : "&amp;COUNTIF($L$11:$L$80,"&gt;=4")&amp;" SV"&amp;" ("&amp;ROUND(COUNTIF($L$11:$L$80,"&gt;=4")*100/MAX($A$11:$A$80),2)&amp;"%" &amp;")")</f>
        <v/>
      </c>
      <c r="L83" s="645"/>
      <c r="M83" s="645"/>
      <c r="N83" s="645"/>
      <c r="O83" s="13"/>
    </row>
    <row r="84" spans="1:16" s="146" customFormat="1" ht="14.1" customHeight="1">
      <c r="A84" s="148"/>
      <c r="B84" s="643" t="str">
        <f>"Tổng số SV có điểm Khá từ 7 đ đến &lt;8,5 đ"</f>
        <v>Tổng số SV có điểm Khá từ 7 đ đến &lt;8,5 đ</v>
      </c>
      <c r="C84" s="643"/>
      <c r="D84" s="643"/>
      <c r="E84" s="643"/>
      <c r="F84" s="153" t="str">
        <f>": "&amp;COUNTIF($M$11:$M$80,"Khá")&amp;" SV"</f>
        <v>: 0 SV</v>
      </c>
      <c r="H84" s="153" t="str">
        <f>IF(B21="","","("&amp;ROUND(COUNTIF($O$11:$O$80,"Khá")*100/MAX($A$11:$A$78),2)&amp;"%" &amp;")")</f>
        <v/>
      </c>
      <c r="I84" s="153"/>
      <c r="J84" s="153"/>
      <c r="K84" s="645"/>
      <c r="L84" s="645"/>
      <c r="M84" s="645"/>
      <c r="N84" s="645"/>
      <c r="O84" s="13"/>
    </row>
    <row r="85" spans="1:16" s="146" customFormat="1" ht="14.1" customHeight="1">
      <c r="A85" s="148"/>
      <c r="B85" s="643" t="str">
        <f>"Tổng số SV có điểm Trung bình từ 5,5 đ đến &lt;7 đ"</f>
        <v>Tổng số SV có điểm Trung bình từ 5,5 đ đến &lt;7 đ</v>
      </c>
      <c r="C85" s="643"/>
      <c r="D85" s="643"/>
      <c r="E85" s="643"/>
      <c r="F85" s="153" t="str">
        <f>": "&amp;COUNTIF($M$11:$M$80,"T.Bình")&amp;" SV"</f>
        <v>: 0 SV</v>
      </c>
      <c r="H85" s="153" t="str">
        <f>IF(B21="","","("&amp;ROUND(COUNTIF($O$11:$O$80,"TB")*100/MAX($A$11:$A$78),2)&amp;"%" &amp;")")</f>
        <v/>
      </c>
      <c r="I85" s="153"/>
      <c r="J85" s="153"/>
      <c r="K85" s="645"/>
      <c r="L85" s="645"/>
      <c r="M85" s="645"/>
      <c r="N85" s="645"/>
      <c r="O85" s="13"/>
    </row>
    <row r="86" spans="1:16" s="146" customFormat="1" ht="14.1" customHeight="1">
      <c r="A86" s="148"/>
      <c r="B86" s="643" t="str">
        <f>"Tổng số SV có điểm Trung bình yếu từ 4 đ đến &lt;5,5 đ"</f>
        <v>Tổng số SV có điểm Trung bình yếu từ 4 đ đến &lt;5,5 đ</v>
      </c>
      <c r="C86" s="643"/>
      <c r="D86" s="643"/>
      <c r="E86" s="643"/>
      <c r="F86" s="153" t="str">
        <f>": "&amp;COUNTIF($M$11:$M$80,"TB Yếu")&amp;" SV"</f>
        <v>: 0 SV</v>
      </c>
      <c r="H86" s="153" t="str">
        <f>IF(B21="","","("&amp;ROUND(COUNTIF($O$11:$O$80,"TBY")*100/MAX($A$11:$A$78),2)&amp;"%" &amp;")")</f>
        <v/>
      </c>
      <c r="I86" s="153"/>
      <c r="J86" s="153"/>
      <c r="K86" s="644" t="str">
        <f>IF(B11="","","Tổng số SV có điểm &lt; 4 đ : "&amp;COUNTIF($L$11:$L$80,"&lt;4")&amp;" SV"&amp;" ("&amp;ROUND(COUNTIF($L$11:$L$80,"&lt;4")*100/MAX($A$11:$A$80),2)&amp;"%" &amp;")")</f>
        <v/>
      </c>
      <c r="L86" s="644"/>
      <c r="M86" s="644"/>
      <c r="N86" s="644"/>
      <c r="O86" s="28"/>
    </row>
    <row r="87" spans="1:16" s="146" customFormat="1" ht="14.1" customHeight="1">
      <c r="A87" s="148"/>
      <c r="B87" s="643" t="str">
        <f>"Tổng số SV có điểm kém &lt;4 đ"</f>
        <v>Tổng số SV có điểm kém &lt;4 đ</v>
      </c>
      <c r="C87" s="643"/>
      <c r="D87" s="643"/>
      <c r="E87" s="643"/>
      <c r="F87" s="153" t="str">
        <f>": "&amp;COUNTIF($M$11:$M$80,"Kém")&amp;" SV"</f>
        <v>: 0 SV</v>
      </c>
      <c r="H87" s="153" t="str">
        <f>IF(B21="","","("&amp;ROUND(COUNTIF($O$11:$O$80,"Kém")*100/MAX($A$11:$A$78),2)&amp;"%"&amp;")")</f>
        <v/>
      </c>
      <c r="I87" s="153"/>
      <c r="J87" s="153"/>
      <c r="K87" s="644"/>
      <c r="L87" s="644"/>
      <c r="M87" s="644"/>
      <c r="N87" s="644"/>
      <c r="O87" s="28"/>
    </row>
    <row r="88" spans="1:16" s="146" customFormat="1" ht="14.1" customHeight="1">
      <c r="A88" s="148"/>
      <c r="B88" s="643" t="str">
        <f>"Tổng số SV không xếp loại vì chưa đủ điều kiện"</f>
        <v>Tổng số SV không xếp loại vì chưa đủ điều kiện</v>
      </c>
      <c r="C88" s="643"/>
      <c r="D88" s="643"/>
      <c r="E88" s="643"/>
      <c r="F88" s="153" t="str">
        <f>": "&amp;COUNTIF($M$11:$M$80,"KXL")&amp;" SV"</f>
        <v>: 0 SV</v>
      </c>
      <c r="H88" s="153" t="str">
        <f>IF(B21="","","("&amp;ROUND(COUNTIF($O$11:$O$80,"KXL")*100/MAX($A$11:$A$78),2)&amp;"%"&amp;")")</f>
        <v/>
      </c>
      <c r="I88" s="153"/>
      <c r="J88" s="153"/>
      <c r="K88" s="644"/>
      <c r="L88" s="644"/>
      <c r="M88" s="644"/>
      <c r="N88" s="644"/>
      <c r="O88" s="28"/>
    </row>
    <row r="89" spans="1:16" s="136" customFormat="1">
      <c r="B89" s="149"/>
      <c r="C89" s="149"/>
      <c r="D89" s="149"/>
      <c r="E89" s="149"/>
      <c r="F89" s="149"/>
      <c r="G89" s="149"/>
      <c r="H89" s="149"/>
      <c r="I89" s="149"/>
      <c r="J89" s="149"/>
      <c r="K89" s="149"/>
      <c r="L89" s="149"/>
      <c r="M89" s="149"/>
      <c r="N89" s="149"/>
    </row>
    <row r="90" spans="1:16" s="136" customFormat="1" ht="15.75" customHeight="1">
      <c r="A90" s="636" t="s">
        <v>190</v>
      </c>
      <c r="B90" s="636"/>
      <c r="C90" s="636"/>
      <c r="D90" s="636" t="s">
        <v>256</v>
      </c>
      <c r="E90" s="636"/>
      <c r="F90" s="636"/>
      <c r="G90" s="636"/>
      <c r="H90" s="138"/>
      <c r="I90" s="138"/>
      <c r="J90" s="636" t="s">
        <v>257</v>
      </c>
      <c r="K90" s="636"/>
      <c r="L90" s="636"/>
      <c r="M90" s="636"/>
      <c r="N90" s="636"/>
      <c r="O90" s="636"/>
    </row>
    <row r="91" spans="1:16">
      <c r="A91" s="670"/>
      <c r="B91" s="670"/>
      <c r="C91" s="670"/>
      <c r="D91" s="128"/>
      <c r="F91" s="128"/>
      <c r="G91" s="128"/>
      <c r="H91" s="128"/>
      <c r="I91" s="671"/>
      <c r="J91" s="671"/>
      <c r="K91" s="671"/>
      <c r="L91" s="671"/>
      <c r="M91" s="129"/>
    </row>
  </sheetData>
  <sheetProtection sheet="1" formatCells="0" formatColumns="0" formatRows="0" autoFilter="0"/>
  <mergeCells count="173">
    <mergeCell ref="A90:C90"/>
    <mergeCell ref="D90:G90"/>
    <mergeCell ref="J90:O90"/>
    <mergeCell ref="A91:C91"/>
    <mergeCell ref="I91:L91"/>
    <mergeCell ref="B83:E83"/>
    <mergeCell ref="K83:N85"/>
    <mergeCell ref="B84:E84"/>
    <mergeCell ref="B85:E85"/>
    <mergeCell ref="B86:E86"/>
    <mergeCell ref="E77:K77"/>
    <mergeCell ref="N77:O77"/>
    <mergeCell ref="E78:K78"/>
    <mergeCell ref="N78:O78"/>
    <mergeCell ref="K86:N88"/>
    <mergeCell ref="B87:E87"/>
    <mergeCell ref="B88:E88"/>
    <mergeCell ref="E79:K79"/>
    <mergeCell ref="N79:O79"/>
    <mergeCell ref="E80:K80"/>
    <mergeCell ref="N80:O80"/>
    <mergeCell ref="A81:M81"/>
    <mergeCell ref="B82:E82"/>
    <mergeCell ref="E72:K72"/>
    <mergeCell ref="N72:O72"/>
    <mergeCell ref="E73:K73"/>
    <mergeCell ref="N73:O73"/>
    <mergeCell ref="E74:K74"/>
    <mergeCell ref="N74:O74"/>
    <mergeCell ref="E75:K75"/>
    <mergeCell ref="N75:O75"/>
    <mergeCell ref="E76:K76"/>
    <mergeCell ref="N76:O76"/>
    <mergeCell ref="E67:K67"/>
    <mergeCell ref="N67:O67"/>
    <mergeCell ref="E68:K68"/>
    <mergeCell ref="N68:O68"/>
    <mergeCell ref="E69:K69"/>
    <mergeCell ref="N69:O69"/>
    <mergeCell ref="E70:K70"/>
    <mergeCell ref="N70:O70"/>
    <mergeCell ref="E71:K71"/>
    <mergeCell ref="N71:O71"/>
    <mergeCell ref="E62:K62"/>
    <mergeCell ref="N62:O62"/>
    <mergeCell ref="E63:K63"/>
    <mergeCell ref="N63:O63"/>
    <mergeCell ref="E64:K64"/>
    <mergeCell ref="N64:O64"/>
    <mergeCell ref="E65:K65"/>
    <mergeCell ref="N65:O65"/>
    <mergeCell ref="E66:K66"/>
    <mergeCell ref="N66:O66"/>
    <mergeCell ref="E57:K57"/>
    <mergeCell ref="N57:O57"/>
    <mergeCell ref="E58:K58"/>
    <mergeCell ref="N58:O58"/>
    <mergeCell ref="E59:K59"/>
    <mergeCell ref="N59:O59"/>
    <mergeCell ref="E60:K60"/>
    <mergeCell ref="N60:O60"/>
    <mergeCell ref="E61:K61"/>
    <mergeCell ref="N61:O61"/>
    <mergeCell ref="E52:K52"/>
    <mergeCell ref="N52:O52"/>
    <mergeCell ref="E53:K53"/>
    <mergeCell ref="N53:O53"/>
    <mergeCell ref="E54:K54"/>
    <mergeCell ref="N54:O54"/>
    <mergeCell ref="E55:K55"/>
    <mergeCell ref="N55:O55"/>
    <mergeCell ref="E56:K56"/>
    <mergeCell ref="N56:O56"/>
    <mergeCell ref="E47:K47"/>
    <mergeCell ref="N47:O47"/>
    <mergeCell ref="E48:K48"/>
    <mergeCell ref="N48:O48"/>
    <mergeCell ref="E49:K49"/>
    <mergeCell ref="N49:O49"/>
    <mergeCell ref="E50:K50"/>
    <mergeCell ref="N50:O50"/>
    <mergeCell ref="E51:K51"/>
    <mergeCell ref="N51:O51"/>
    <mergeCell ref="E42:K42"/>
    <mergeCell ref="N42:O42"/>
    <mergeCell ref="E43:K43"/>
    <mergeCell ref="N43:O43"/>
    <mergeCell ref="E44:K44"/>
    <mergeCell ref="N44:O44"/>
    <mergeCell ref="E45:K45"/>
    <mergeCell ref="N45:O45"/>
    <mergeCell ref="E46:K46"/>
    <mergeCell ref="N46:O46"/>
    <mergeCell ref="E37:K37"/>
    <mergeCell ref="N37:O37"/>
    <mergeCell ref="E38:K38"/>
    <mergeCell ref="N38:O38"/>
    <mergeCell ref="E39:K39"/>
    <mergeCell ref="N39:O39"/>
    <mergeCell ref="E40:K40"/>
    <mergeCell ref="N40:O40"/>
    <mergeCell ref="E41:K41"/>
    <mergeCell ref="N41:O41"/>
    <mergeCell ref="E32:K32"/>
    <mergeCell ref="N32:O32"/>
    <mergeCell ref="E33:K33"/>
    <mergeCell ref="N33:O33"/>
    <mergeCell ref="E34:K34"/>
    <mergeCell ref="N34:O34"/>
    <mergeCell ref="E35:K35"/>
    <mergeCell ref="N35:O35"/>
    <mergeCell ref="E36:K36"/>
    <mergeCell ref="N36:O36"/>
    <mergeCell ref="E27:K27"/>
    <mergeCell ref="N27:O27"/>
    <mergeCell ref="E28:K28"/>
    <mergeCell ref="N28:O28"/>
    <mergeCell ref="E29:K29"/>
    <mergeCell ref="N29:O29"/>
    <mergeCell ref="E30:K30"/>
    <mergeCell ref="N30:O30"/>
    <mergeCell ref="E31:K31"/>
    <mergeCell ref="N31:O31"/>
    <mergeCell ref="E22:K22"/>
    <mergeCell ref="N22:O22"/>
    <mergeCell ref="E23:K23"/>
    <mergeCell ref="N23:O23"/>
    <mergeCell ref="E24:K24"/>
    <mergeCell ref="N24:O24"/>
    <mergeCell ref="E25:K25"/>
    <mergeCell ref="N25:O25"/>
    <mergeCell ref="E26:K26"/>
    <mergeCell ref="N26:O26"/>
    <mergeCell ref="E17:K17"/>
    <mergeCell ref="N17:O17"/>
    <mergeCell ref="E18:K18"/>
    <mergeCell ref="N18:O18"/>
    <mergeCell ref="E19:K19"/>
    <mergeCell ref="N19:O19"/>
    <mergeCell ref="E20:K20"/>
    <mergeCell ref="N20:O20"/>
    <mergeCell ref="E21:K21"/>
    <mergeCell ref="N21:O21"/>
    <mergeCell ref="E12:K12"/>
    <mergeCell ref="N12:O12"/>
    <mergeCell ref="E13:K13"/>
    <mergeCell ref="N13:O13"/>
    <mergeCell ref="E14:K14"/>
    <mergeCell ref="N14:O14"/>
    <mergeCell ref="E15:K15"/>
    <mergeCell ref="N15:O15"/>
    <mergeCell ref="E16:K16"/>
    <mergeCell ref="N16:O16"/>
    <mergeCell ref="F7:K7"/>
    <mergeCell ref="A8:A10"/>
    <mergeCell ref="B8:B10"/>
    <mergeCell ref="C8:D10"/>
    <mergeCell ref="E8:K10"/>
    <mergeCell ref="L8:L10"/>
    <mergeCell ref="M8:M10"/>
    <mergeCell ref="N8:O10"/>
    <mergeCell ref="E11:K11"/>
    <mergeCell ref="N11:O11"/>
    <mergeCell ref="A1:F1"/>
    <mergeCell ref="A3:F3"/>
    <mergeCell ref="A4:O4"/>
    <mergeCell ref="A6:B6"/>
    <mergeCell ref="C6:G6"/>
    <mergeCell ref="H6:I6"/>
    <mergeCell ref="L6:O6"/>
    <mergeCell ref="A2:F2"/>
    <mergeCell ref="G1:O1"/>
    <mergeCell ref="G2:O2"/>
  </mergeCells>
  <conditionalFormatting sqref="L11:L80">
    <cfRule type="cellIs" priority="1" stopIfTrue="1" operator="lessThan">
      <formula>4</formula>
    </cfRule>
  </conditionalFormatting>
  <printOptions horizontalCentered="1"/>
  <pageMargins left="0.25" right="0.25" top="0.25" bottom="0.25" header="0.25" footer="0.25"/>
  <pageSetup paperSize="9" scale="90"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P96"/>
  <sheetViews>
    <sheetView topLeftCell="A37" zoomScale="110" workbookViewId="0">
      <selection activeCell="A55" sqref="A55:IV55"/>
    </sheetView>
  </sheetViews>
  <sheetFormatPr defaultRowHeight="12.75"/>
  <cols>
    <col min="1" max="1" width="4.28515625" style="136" customWidth="1"/>
    <col min="2" max="2" width="11.7109375" style="136" customWidth="1"/>
    <col min="3" max="3" width="19.28515625" style="136" bestFit="1" customWidth="1"/>
    <col min="4" max="4" width="8.28515625" style="136" bestFit="1" customWidth="1"/>
    <col min="5" max="5" width="5.85546875" style="136" customWidth="1"/>
    <col min="6" max="14" width="5.28515625" style="136" customWidth="1"/>
    <col min="15" max="15" width="6.7109375" style="136" bestFit="1" customWidth="1"/>
    <col min="16" max="16" width="9.28515625" style="147" hidden="1" customWidth="1"/>
    <col min="17" max="16384" width="9.140625" style="136"/>
  </cols>
  <sheetData>
    <row r="1" spans="1:16" ht="15.75">
      <c r="A1" s="633" t="s">
        <v>2695</v>
      </c>
      <c r="B1" s="633"/>
      <c r="C1" s="633"/>
      <c r="D1" s="633"/>
      <c r="E1" s="633"/>
      <c r="F1" s="633"/>
      <c r="G1" s="632" t="s">
        <v>249</v>
      </c>
      <c r="H1" s="632"/>
      <c r="I1" s="632"/>
      <c r="J1" s="632"/>
      <c r="K1" s="632"/>
      <c r="L1" s="632"/>
      <c r="M1" s="632"/>
      <c r="N1" s="632"/>
      <c r="O1" s="632"/>
      <c r="P1" s="136"/>
    </row>
    <row r="2" spans="1:16" ht="32.25" customHeight="1">
      <c r="A2" s="631" t="s">
        <v>2687</v>
      </c>
      <c r="B2" s="632"/>
      <c r="C2" s="632"/>
      <c r="D2" s="632"/>
      <c r="E2" s="632"/>
      <c r="F2" s="632"/>
      <c r="G2" s="638" t="s">
        <v>250</v>
      </c>
      <c r="H2" s="638"/>
      <c r="I2" s="638"/>
      <c r="J2" s="638"/>
      <c r="K2" s="638"/>
      <c r="L2" s="638"/>
      <c r="M2" s="638"/>
      <c r="N2" s="638"/>
      <c r="O2" s="638"/>
      <c r="P2" s="136"/>
    </row>
    <row r="3" spans="1:16" ht="19.5" customHeight="1">
      <c r="A3" s="633"/>
      <c r="B3" s="633"/>
      <c r="C3" s="633"/>
      <c r="D3" s="633"/>
      <c r="E3" s="633"/>
      <c r="F3" s="633"/>
      <c r="I3" s="178"/>
      <c r="J3" s="147"/>
      <c r="K3" s="147"/>
      <c r="L3" s="147"/>
      <c r="M3" s="147"/>
      <c r="N3" s="147"/>
      <c r="O3" s="147"/>
    </row>
    <row r="4" spans="1:16" ht="21.75" customHeight="1">
      <c r="A4" s="635" t="s">
        <v>158</v>
      </c>
      <c r="B4" s="635"/>
      <c r="C4" s="635"/>
      <c r="D4" s="635"/>
      <c r="E4" s="635"/>
      <c r="F4" s="635"/>
      <c r="G4" s="635"/>
      <c r="H4" s="635"/>
      <c r="I4" s="635"/>
      <c r="J4" s="635"/>
      <c r="K4" s="635"/>
      <c r="L4" s="635"/>
      <c r="M4" s="635"/>
      <c r="N4" s="635"/>
      <c r="O4" s="635"/>
    </row>
    <row r="5" spans="1:16" ht="9.75" customHeight="1">
      <c r="A5" s="635"/>
      <c r="B5" s="635"/>
      <c r="C5" s="635"/>
      <c r="D5" s="635"/>
      <c r="E5" s="635"/>
      <c r="F5" s="635"/>
      <c r="G5" s="635"/>
      <c r="H5" s="635"/>
      <c r="I5" s="635"/>
      <c r="J5" s="635"/>
      <c r="K5" s="635"/>
      <c r="L5" s="635"/>
      <c r="M5" s="635"/>
      <c r="N5" s="635"/>
      <c r="O5" s="635"/>
    </row>
    <row r="6" spans="1:16" s="139" customFormat="1" ht="16.5" customHeight="1">
      <c r="A6" s="656" t="s">
        <v>252</v>
      </c>
      <c r="B6" s="656"/>
      <c r="C6" s="637" t="str">
        <f>IF($M$6="","",IF(VLOOKUP($M$6,'LOP-MON'!$B$2:$N$43,11,FALSE)=0,"",VLOOKUP($M$6,'LOP-MON'!$B$2:$N$43,11,FALSE)))</f>
        <v>Thực tập Máy điện</v>
      </c>
      <c r="D6" s="637"/>
      <c r="E6" s="637"/>
      <c r="F6" s="637"/>
      <c r="G6" s="636" t="s">
        <v>271</v>
      </c>
      <c r="H6" s="636"/>
      <c r="I6" s="636"/>
      <c r="J6" s="183">
        <f>IF($M$6="","",IF(VLOOKUP(CONCATENATE("TC",MID($M$6,1,4),MID($M$6,6,3)),'LOP-MON'!$B$2:$N$43,11,FALSE)=0,"",VLOOKUP(CONCATENATE("TC",MID($M$6,1,4),MID($M$6,6,3)),'LOP-MON'!$B$2:$N$43,11,FALSE)))</f>
        <v>2</v>
      </c>
      <c r="K6" s="652" t="s">
        <v>187</v>
      </c>
      <c r="L6" s="652"/>
      <c r="M6" s="693" t="str">
        <f>HKI!$D$3</f>
        <v>13CĐ-Đ1</v>
      </c>
      <c r="N6" s="693"/>
      <c r="O6" s="693"/>
      <c r="P6" s="24"/>
    </row>
    <row r="7" spans="1:16" s="140" customFormat="1" ht="16.5" customHeight="1">
      <c r="C7" s="100" t="s">
        <v>253</v>
      </c>
      <c r="D7" s="100" t="s">
        <v>2693</v>
      </c>
      <c r="E7" s="141"/>
      <c r="G7" s="634" t="s">
        <v>254</v>
      </c>
      <c r="H7" s="634"/>
      <c r="I7" s="634"/>
      <c r="J7" s="634" t="s">
        <v>2694</v>
      </c>
      <c r="K7" s="634"/>
      <c r="L7" s="634"/>
      <c r="O7" s="19"/>
      <c r="P7" s="100"/>
    </row>
    <row r="8" spans="1:16" s="197" customFormat="1" ht="18.75" customHeight="1">
      <c r="A8" s="677" t="s">
        <v>255</v>
      </c>
      <c r="B8" s="677" t="s">
        <v>188</v>
      </c>
      <c r="C8" s="680" t="s">
        <v>189</v>
      </c>
      <c r="D8" s="681"/>
      <c r="E8" s="690" t="s">
        <v>259</v>
      </c>
      <c r="F8" s="687" t="s">
        <v>159</v>
      </c>
      <c r="G8" s="688"/>
      <c r="H8" s="688"/>
      <c r="I8" s="688"/>
      <c r="J8" s="688"/>
      <c r="K8" s="688"/>
      <c r="L8" s="688"/>
      <c r="M8" s="688"/>
      <c r="N8" s="689"/>
      <c r="O8" s="677" t="s">
        <v>260</v>
      </c>
      <c r="P8" s="676" t="s">
        <v>258</v>
      </c>
    </row>
    <row r="9" spans="1:16" s="197" customFormat="1" ht="15.75">
      <c r="A9" s="678"/>
      <c r="B9" s="678"/>
      <c r="C9" s="682"/>
      <c r="D9" s="683"/>
      <c r="E9" s="691"/>
      <c r="F9" s="675" t="s">
        <v>160</v>
      </c>
      <c r="G9" s="675" t="s">
        <v>161</v>
      </c>
      <c r="H9" s="675" t="s">
        <v>162</v>
      </c>
      <c r="I9" s="675" t="s">
        <v>163</v>
      </c>
      <c r="J9" s="675" t="s">
        <v>164</v>
      </c>
      <c r="K9" s="675" t="s">
        <v>165</v>
      </c>
      <c r="L9" s="675" t="s">
        <v>166</v>
      </c>
      <c r="M9" s="675" t="s">
        <v>167</v>
      </c>
      <c r="N9" s="675" t="s">
        <v>168</v>
      </c>
      <c r="O9" s="678"/>
      <c r="P9" s="676"/>
    </row>
    <row r="10" spans="1:16">
      <c r="A10" s="679"/>
      <c r="B10" s="679"/>
      <c r="C10" s="684"/>
      <c r="D10" s="685"/>
      <c r="E10" s="692"/>
      <c r="F10" s="675"/>
      <c r="G10" s="675"/>
      <c r="H10" s="675"/>
      <c r="I10" s="675"/>
      <c r="J10" s="675"/>
      <c r="K10" s="675"/>
      <c r="L10" s="675"/>
      <c r="M10" s="675"/>
      <c r="N10" s="675"/>
      <c r="O10" s="679"/>
      <c r="P10" s="676"/>
    </row>
    <row r="11" spans="1:16" ht="18" customHeight="1">
      <c r="A11" s="123">
        <f>IF(OR($C$6="",$J$6="",$M$6=""),"",IF($B11="","",SUBTOTAL(3,$B$11:B11)))</f>
        <v>1</v>
      </c>
      <c r="B11" s="25" t="str">
        <f>IF(OR($C$6="",$J$6="",$M$6=""),"",IF(HKI!$B11="","",HKI!$B11))</f>
        <v>13D301Đ001</v>
      </c>
      <c r="C11" s="26" t="str">
        <f>IF(OR($C$6="",$J$6="",$M$6=""),"",IF(HKI!$C11="","",HKI!$C11))</f>
        <v>Lương Hoàng Thuận</v>
      </c>
      <c r="D11" s="152" t="str">
        <f>IF(OR($C$6="",$J$6="",$M$6=""),"",IF(HKI!$D11="","",HKI!$D11))</f>
        <v>An</v>
      </c>
      <c r="E11" s="467"/>
      <c r="F11" s="462">
        <v>8</v>
      </c>
      <c r="G11" s="462">
        <v>4</v>
      </c>
      <c r="H11" s="462">
        <v>4</v>
      </c>
      <c r="I11" s="462">
        <v>6</v>
      </c>
      <c r="J11" s="462">
        <v>6</v>
      </c>
      <c r="K11" s="462"/>
      <c r="L11" s="462"/>
      <c r="M11" s="462"/>
      <c r="N11" s="462"/>
      <c r="O11" s="198">
        <f>IF($B11="","",IF(OR($C$6="",$J$6="",$M$6=""),"",IF(ISNUMBER($E11)=TRUE,$E11,IF(COUNT($F11:$N11)=0,"",ROUND(SUM($F11:$N11)/COUNT($F11:$N11),1)))))</f>
        <v>5.6</v>
      </c>
      <c r="P11" s="204" t="str">
        <f>IF($B11="","",IF(OR($C$6="",$J$6="",$M$6=""),"",IF($O11="","KXL",IF($O11&lt;4,"Kém",IF($O11&lt;5.5,"TB Yếu",IF($O11&lt;7,"T.Bình",IF($O11&lt;8.5,"Khá","Giỏi")))))))</f>
        <v>T.Bình</v>
      </c>
    </row>
    <row r="12" spans="1:16" ht="18" customHeight="1">
      <c r="A12" s="123">
        <f>IF(OR($C$6="",$J$6="",$M$6=""),"",IF($B12="","",SUBTOTAL(3,$B$11:B12)))</f>
        <v>2</v>
      </c>
      <c r="B12" s="25" t="str">
        <f>IF(OR($C$6="",$J$6="",$M$6=""),"",IF(HKI!$B12="","",HKI!$B12))</f>
        <v>13D301Đ004</v>
      </c>
      <c r="C12" s="26" t="str">
        <f>IF(OR($C$6="",$J$6="",$M$6=""),"",IF(HKI!$C12="","",HKI!$C12))</f>
        <v>Đặng Thế</v>
      </c>
      <c r="D12" s="152" t="str">
        <f>IF(OR($C$6="",$J$6="",$M$6=""),"",IF(HKI!$D12="","",HKI!$D12))</f>
        <v>Anh</v>
      </c>
      <c r="E12" s="467"/>
      <c r="F12" s="462">
        <v>4</v>
      </c>
      <c r="G12" s="462">
        <v>7</v>
      </c>
      <c r="H12" s="462">
        <v>5</v>
      </c>
      <c r="I12" s="462">
        <v>5</v>
      </c>
      <c r="J12" s="462">
        <v>5</v>
      </c>
      <c r="K12" s="462"/>
      <c r="L12" s="462"/>
      <c r="M12" s="462"/>
      <c r="N12" s="462"/>
      <c r="O12" s="198">
        <f t="shared" ref="O12:O75" si="0">IF($B12="","",IF(OR($C$6="",$J$6="",$M$6=""),"",IF(ISNUMBER($E12)=TRUE,$E12,IF(COUNT($F12:$N12)=0,"",ROUND(SUM($F12:$N12)/COUNT($F12:$N12),1)))))</f>
        <v>5.2</v>
      </c>
      <c r="P12" s="204" t="str">
        <f t="shared" ref="P12:P75" si="1">IF($B12="","",IF(OR($C$6="",$J$6="",$M$6=""),"",IF($O12="","KXL",IF($O12&lt;4,"Kém",IF($O12&lt;5.5,"TB Yếu",IF($O12&lt;7,"T.Bình",IF($O12&lt;8.5,"Khá","Giỏi")))))))</f>
        <v>TB Yếu</v>
      </c>
    </row>
    <row r="13" spans="1:16" ht="18" customHeight="1">
      <c r="A13" s="123">
        <f>IF(OR($C$6="",$J$6="",$M$6=""),"",IF($B13="","",SUBTOTAL(3,$B$11:B13)))</f>
        <v>3</v>
      </c>
      <c r="B13" s="25" t="str">
        <f>IF(OR($C$6="",$J$6="",$M$6=""),"",IF(HKI!$B13="","",HKI!$B13))</f>
        <v>13D301Đ149</v>
      </c>
      <c r="C13" s="26" t="str">
        <f>IF(OR($C$6="",$J$6="",$M$6=""),"",IF(HKI!$C13="","",HKI!$C13))</f>
        <v>Đỗ Huỳnh</v>
      </c>
      <c r="D13" s="152" t="str">
        <f>IF(OR($C$6="",$J$6="",$M$6=""),"",IF(HKI!$D13="","",HKI!$D13))</f>
        <v>Bảo</v>
      </c>
      <c r="E13" s="467"/>
      <c r="F13" s="462">
        <v>9</v>
      </c>
      <c r="G13" s="462">
        <v>8</v>
      </c>
      <c r="H13" s="462">
        <v>7</v>
      </c>
      <c r="I13" s="462">
        <v>6</v>
      </c>
      <c r="J13" s="462">
        <v>6</v>
      </c>
      <c r="K13" s="462"/>
      <c r="L13" s="462"/>
      <c r="M13" s="462"/>
      <c r="N13" s="462"/>
      <c r="O13" s="198">
        <f t="shared" si="0"/>
        <v>7.2</v>
      </c>
      <c r="P13" s="204" t="str">
        <f t="shared" si="1"/>
        <v>Khá</v>
      </c>
    </row>
    <row r="14" spans="1:16" ht="18" customHeight="1">
      <c r="A14" s="123">
        <f>IF(OR($C$6="",$J$6="",$M$6=""),"",IF($B14="","",SUBTOTAL(3,$B$11:B14)))</f>
        <v>4</v>
      </c>
      <c r="B14" s="25" t="str">
        <f>IF(OR($C$6="",$J$6="",$M$6=""),"",IF(HKI!$B14="","",HKI!$B14))</f>
        <v>13D301Đ008</v>
      </c>
      <c r="C14" s="26" t="str">
        <f>IF(OR($C$6="",$J$6="",$M$6=""),"",IF(HKI!$C14="","",HKI!$C14))</f>
        <v>Trương Vũ</v>
      </c>
      <c r="D14" s="152" t="str">
        <f>IF(OR($C$6="",$J$6="",$M$6=""),"",IF(HKI!$D14="","",HKI!$D14))</f>
        <v>Bảo</v>
      </c>
      <c r="E14" s="467"/>
      <c r="F14" s="462">
        <v>9</v>
      </c>
      <c r="G14" s="462">
        <v>9</v>
      </c>
      <c r="H14" s="462">
        <v>8</v>
      </c>
      <c r="I14" s="462">
        <v>5</v>
      </c>
      <c r="J14" s="462">
        <v>5</v>
      </c>
      <c r="K14" s="462"/>
      <c r="L14" s="462"/>
      <c r="M14" s="462"/>
      <c r="N14" s="462"/>
      <c r="O14" s="198">
        <f t="shared" si="0"/>
        <v>7.2</v>
      </c>
      <c r="P14" s="204" t="str">
        <f t="shared" si="1"/>
        <v>Khá</v>
      </c>
    </row>
    <row r="15" spans="1:16" ht="18" customHeight="1">
      <c r="A15" s="123">
        <f>IF(OR($C$6="",$J$6="",$M$6=""),"",IF($B15="","",SUBTOTAL(3,$B$11:B15)))</f>
        <v>5</v>
      </c>
      <c r="B15" s="25" t="str">
        <f>IF(OR($C$6="",$J$6="",$M$6=""),"",IF(HKI!$B15="","",HKI!$B15))</f>
        <v>13D301Đ009</v>
      </c>
      <c r="C15" s="26" t="str">
        <f>IF(OR($C$6="",$J$6="",$M$6=""),"",IF(HKI!$C15="","",HKI!$C15))</f>
        <v>Võ Thành</v>
      </c>
      <c r="D15" s="152" t="str">
        <f>IF(OR($C$6="",$J$6="",$M$6=""),"",IF(HKI!$D15="","",HKI!$D15))</f>
        <v>Bảo</v>
      </c>
      <c r="E15" s="467"/>
      <c r="F15" s="462">
        <v>10</v>
      </c>
      <c r="G15" s="462">
        <v>7</v>
      </c>
      <c r="H15" s="462">
        <v>7</v>
      </c>
      <c r="I15" s="462">
        <v>6</v>
      </c>
      <c r="J15" s="462">
        <v>6</v>
      </c>
      <c r="K15" s="462"/>
      <c r="L15" s="462"/>
      <c r="M15" s="462"/>
      <c r="N15" s="462"/>
      <c r="O15" s="198">
        <f t="shared" si="0"/>
        <v>7.2</v>
      </c>
      <c r="P15" s="204" t="str">
        <f t="shared" si="1"/>
        <v>Khá</v>
      </c>
    </row>
    <row r="16" spans="1:16" ht="18" customHeight="1">
      <c r="A16" s="123">
        <f>IF(OR($C$6="",$J$6="",$M$6=""),"",IF($B16="","",SUBTOTAL(3,$B$11:B16)))</f>
        <v>6</v>
      </c>
      <c r="B16" s="25" t="str">
        <f>IF(OR($C$6="",$J$6="",$M$6=""),"",IF(HKI!$B16="","",HKI!$B16))</f>
        <v>13D301Đ013</v>
      </c>
      <c r="C16" s="26" t="str">
        <f>IF(OR($C$6="",$J$6="",$M$6=""),"",IF(HKI!$C16="","",HKI!$C16))</f>
        <v>Nguyễn Chí</v>
      </c>
      <c r="D16" s="152" t="str">
        <f>IF(OR($C$6="",$J$6="",$M$6=""),"",IF(HKI!$D16="","",HKI!$D16))</f>
        <v>Bình</v>
      </c>
      <c r="E16" s="467"/>
      <c r="F16" s="462">
        <v>8</v>
      </c>
      <c r="G16" s="462">
        <v>4</v>
      </c>
      <c r="H16" s="462">
        <v>4</v>
      </c>
      <c r="I16" s="462">
        <v>6</v>
      </c>
      <c r="J16" s="462">
        <v>5</v>
      </c>
      <c r="K16" s="462"/>
      <c r="L16" s="462"/>
      <c r="M16" s="462"/>
      <c r="N16" s="462"/>
      <c r="O16" s="198">
        <f t="shared" si="0"/>
        <v>5.4</v>
      </c>
      <c r="P16" s="204" t="str">
        <f t="shared" si="1"/>
        <v>TB Yếu</v>
      </c>
    </row>
    <row r="17" spans="1:16" ht="18" customHeight="1">
      <c r="A17" s="123">
        <f>IF(OR($C$6="",$J$6="",$M$6=""),"",IF($B17="","",SUBTOTAL(3,$B$11:B17)))</f>
        <v>7</v>
      </c>
      <c r="B17" s="25" t="str">
        <f>IF(OR($C$6="",$J$6="",$M$6=""),"",IF(HKI!$B17="","",HKI!$B17))</f>
        <v>13D301Đ016</v>
      </c>
      <c r="C17" s="26" t="str">
        <f>IF(OR($C$6="",$J$6="",$M$6=""),"",IF(HKI!$C17="","",HKI!$C17))</f>
        <v>Vũ Văn</v>
      </c>
      <c r="D17" s="152" t="str">
        <f>IF(OR($C$6="",$J$6="",$M$6=""),"",IF(HKI!$D17="","",HKI!$D17))</f>
        <v>Chiến</v>
      </c>
      <c r="E17" s="467"/>
      <c r="F17" s="462">
        <v>7</v>
      </c>
      <c r="G17" s="462">
        <v>7</v>
      </c>
      <c r="H17" s="462">
        <v>6</v>
      </c>
      <c r="I17" s="462">
        <v>7</v>
      </c>
      <c r="J17" s="462">
        <v>6</v>
      </c>
      <c r="K17" s="462"/>
      <c r="L17" s="462"/>
      <c r="M17" s="462"/>
      <c r="N17" s="462"/>
      <c r="O17" s="198">
        <f t="shared" si="0"/>
        <v>6.6</v>
      </c>
      <c r="P17" s="204" t="str">
        <f t="shared" si="1"/>
        <v>T.Bình</v>
      </c>
    </row>
    <row r="18" spans="1:16" ht="18" customHeight="1">
      <c r="A18" s="123">
        <f>IF(OR($C$6="",$J$6="",$M$6=""),"",IF($B18="","",SUBTOTAL(3,$B$11:B18)))</f>
        <v>8</v>
      </c>
      <c r="B18" s="25" t="str">
        <f>IF(OR($C$6="",$J$6="",$M$6=""),"",IF(HKI!$B18="","",HKI!$B18))</f>
        <v>13D301Đ017</v>
      </c>
      <c r="C18" s="26" t="str">
        <f>IF(OR($C$6="",$J$6="",$M$6=""),"",IF(HKI!$C18="","",HKI!$C18))</f>
        <v>Trần Văn</v>
      </c>
      <c r="D18" s="152" t="str">
        <f>IF(OR($C$6="",$J$6="",$M$6=""),"",IF(HKI!$D18="","",HKI!$D18))</f>
        <v>Chinh</v>
      </c>
      <c r="E18" s="467"/>
      <c r="F18" s="462">
        <v>10</v>
      </c>
      <c r="G18" s="462">
        <v>7</v>
      </c>
      <c r="H18" s="462">
        <v>7</v>
      </c>
      <c r="I18" s="462">
        <v>7</v>
      </c>
      <c r="J18" s="462">
        <v>6</v>
      </c>
      <c r="K18" s="462"/>
      <c r="L18" s="462"/>
      <c r="M18" s="462"/>
      <c r="N18" s="462"/>
      <c r="O18" s="198">
        <f t="shared" si="0"/>
        <v>7.4</v>
      </c>
      <c r="P18" s="204" t="str">
        <f t="shared" si="1"/>
        <v>Khá</v>
      </c>
    </row>
    <row r="19" spans="1:16" ht="18" customHeight="1">
      <c r="A19" s="123">
        <f>IF(OR($C$6="",$J$6="",$M$6=""),"",IF($B19="","",SUBTOTAL(3,$B$11:B19)))</f>
        <v>9</v>
      </c>
      <c r="B19" s="25" t="str">
        <f>IF(OR($C$6="",$J$6="",$M$6=""),"",IF(HKI!$B19="","",HKI!$B19))</f>
        <v>13D301Đ193</v>
      </c>
      <c r="C19" s="26" t="str">
        <f>IF(OR($C$6="",$J$6="",$M$6=""),"",IF(HKI!$C19="","",HKI!$C19))</f>
        <v>Phạm Công</v>
      </c>
      <c r="D19" s="152" t="str">
        <f>IF(OR($C$6="",$J$6="",$M$6=""),"",IF(HKI!$D19="","",HKI!$D19))</f>
        <v>Chính</v>
      </c>
      <c r="E19" s="467"/>
      <c r="F19" s="462">
        <v>4</v>
      </c>
      <c r="G19" s="462">
        <v>7</v>
      </c>
      <c r="H19" s="462">
        <v>5</v>
      </c>
      <c r="I19" s="462">
        <v>5</v>
      </c>
      <c r="J19" s="462">
        <v>5</v>
      </c>
      <c r="K19" s="462"/>
      <c r="L19" s="462"/>
      <c r="M19" s="462"/>
      <c r="N19" s="462"/>
      <c r="O19" s="198">
        <f t="shared" si="0"/>
        <v>5.2</v>
      </c>
      <c r="P19" s="204" t="str">
        <f t="shared" si="1"/>
        <v>TB Yếu</v>
      </c>
    </row>
    <row r="20" spans="1:16" ht="18" customHeight="1">
      <c r="A20" s="123">
        <f>IF(OR($C$6="",$J$6="",$M$6=""),"",IF($B20="","",SUBTOTAL(3,$B$11:B20)))</f>
        <v>10</v>
      </c>
      <c r="B20" s="25" t="str">
        <f>IF(OR($C$6="",$J$6="",$M$6=""),"",IF(HKI!$B20="","",HKI!$B20))</f>
        <v>13D301Đ020</v>
      </c>
      <c r="C20" s="26" t="str">
        <f>IF(OR($C$6="",$J$6="",$M$6=""),"",IF(HKI!$C20="","",HKI!$C20))</f>
        <v>Trịnh Lê</v>
      </c>
      <c r="D20" s="152" t="str">
        <f>IF(OR($C$6="",$J$6="",$M$6=""),"",IF(HKI!$D20="","",HKI!$D20))</f>
        <v>Cung</v>
      </c>
      <c r="E20" s="467"/>
      <c r="F20" s="462">
        <v>9</v>
      </c>
      <c r="G20" s="462">
        <v>8</v>
      </c>
      <c r="H20" s="462">
        <v>7</v>
      </c>
      <c r="I20" s="462">
        <v>6</v>
      </c>
      <c r="J20" s="462">
        <v>6</v>
      </c>
      <c r="K20" s="462"/>
      <c r="L20" s="462"/>
      <c r="M20" s="462"/>
      <c r="N20" s="462"/>
      <c r="O20" s="198">
        <f t="shared" si="0"/>
        <v>7.2</v>
      </c>
      <c r="P20" s="204" t="str">
        <f t="shared" si="1"/>
        <v>Khá</v>
      </c>
    </row>
    <row r="21" spans="1:16" ht="18" customHeight="1">
      <c r="A21" s="123">
        <f>IF(OR($C$6="",$J$6="",$M$6=""),"",IF($B21="","",SUBTOTAL(3,$B$11:B21)))</f>
        <v>11</v>
      </c>
      <c r="B21" s="25" t="str">
        <f>IF(OR($C$6="",$J$6="",$M$6=""),"",IF(HKI!$B21="","",HKI!$B21))</f>
        <v>13D301Đ021</v>
      </c>
      <c r="C21" s="26" t="str">
        <f>IF(OR($C$6="",$J$6="",$M$6=""),"",IF(HKI!$C21="","",HKI!$C21))</f>
        <v>Nguyễn Chí</v>
      </c>
      <c r="D21" s="152" t="str">
        <f>IF(OR($C$6="",$J$6="",$M$6=""),"",IF(HKI!$D21="","",HKI!$D21))</f>
        <v>Cường</v>
      </c>
      <c r="E21" s="467"/>
      <c r="F21" s="462">
        <v>8</v>
      </c>
      <c r="G21" s="462">
        <v>7</v>
      </c>
      <c r="H21" s="462">
        <v>5</v>
      </c>
      <c r="I21" s="462">
        <v>6</v>
      </c>
      <c r="J21" s="462">
        <v>6</v>
      </c>
      <c r="K21" s="462"/>
      <c r="L21" s="462"/>
      <c r="M21" s="462"/>
      <c r="N21" s="462"/>
      <c r="O21" s="198">
        <f t="shared" si="0"/>
        <v>6.4</v>
      </c>
      <c r="P21" s="204" t="str">
        <f t="shared" si="1"/>
        <v>T.Bình</v>
      </c>
    </row>
    <row r="22" spans="1:16" ht="18" customHeight="1">
      <c r="A22" s="123">
        <f>IF(OR($C$6="",$J$6="",$M$6=""),"",IF($B22="","",SUBTOTAL(3,$B$11:B22)))</f>
        <v>12</v>
      </c>
      <c r="B22" s="25" t="str">
        <f>IF(OR($C$6="",$J$6="",$M$6=""),"",IF(HKI!$B22="","",HKI!$B22))</f>
        <v>13D301Đ033</v>
      </c>
      <c r="C22" s="26" t="str">
        <f>IF(OR($C$6="",$J$6="",$M$6=""),"",IF(HKI!$C22="","",HKI!$C22))</f>
        <v xml:space="preserve">Trương Văn </v>
      </c>
      <c r="D22" s="152" t="str">
        <f>IF(OR($C$6="",$J$6="",$M$6=""),"",IF(HKI!$D22="","",HKI!$D22))</f>
        <v>Đạt</v>
      </c>
      <c r="E22" s="467"/>
      <c r="F22" s="462">
        <v>8</v>
      </c>
      <c r="G22" s="462">
        <v>4</v>
      </c>
      <c r="H22" s="462">
        <v>4</v>
      </c>
      <c r="I22" s="462">
        <v>6</v>
      </c>
      <c r="J22" s="462">
        <v>6</v>
      </c>
      <c r="K22" s="462"/>
      <c r="L22" s="462"/>
      <c r="M22" s="462"/>
      <c r="N22" s="462"/>
      <c r="O22" s="198">
        <f t="shared" si="0"/>
        <v>5.6</v>
      </c>
      <c r="P22" s="204" t="str">
        <f t="shared" si="1"/>
        <v>T.Bình</v>
      </c>
    </row>
    <row r="23" spans="1:16" ht="18" customHeight="1">
      <c r="A23" s="123">
        <f>IF(OR($C$6="",$J$6="",$M$6=""),"",IF($B23="","",SUBTOTAL(3,$B$11:B23)))</f>
        <v>13</v>
      </c>
      <c r="B23" s="25" t="str">
        <f>IF(OR($C$6="",$J$6="",$M$6=""),"",IF(HKI!$B23="","",HKI!$B23))</f>
        <v>13D301Đ037</v>
      </c>
      <c r="C23" s="26" t="str">
        <f>IF(OR($C$6="",$J$6="",$M$6=""),"",IF(HKI!$C23="","",HKI!$C23))</f>
        <v>Nguyễn Thành</v>
      </c>
      <c r="D23" s="152" t="str">
        <f>IF(OR($C$6="",$J$6="",$M$6=""),"",IF(HKI!$D23="","",HKI!$D23))</f>
        <v>Đông</v>
      </c>
      <c r="E23" s="467"/>
      <c r="F23" s="462">
        <v>8</v>
      </c>
      <c r="G23" s="462">
        <v>7</v>
      </c>
      <c r="H23" s="462">
        <v>5</v>
      </c>
      <c r="I23" s="462">
        <v>6</v>
      </c>
      <c r="J23" s="462">
        <v>5</v>
      </c>
      <c r="K23" s="462"/>
      <c r="L23" s="462"/>
      <c r="M23" s="462"/>
      <c r="N23" s="462"/>
      <c r="O23" s="198">
        <f t="shared" si="0"/>
        <v>6.2</v>
      </c>
      <c r="P23" s="204" t="str">
        <f t="shared" si="1"/>
        <v>T.Bình</v>
      </c>
    </row>
    <row r="24" spans="1:16" ht="18" customHeight="1">
      <c r="A24" s="123">
        <f>IF(OR($C$6="",$J$6="",$M$6=""),"",IF($B24="","",SUBTOTAL(3,$B$11:B24)))</f>
        <v>14</v>
      </c>
      <c r="B24" s="25" t="str">
        <f>IF(OR($C$6="",$J$6="",$M$6=""),"",IF(HKI!$B24="","",HKI!$B24))</f>
        <v>13D301Đ024</v>
      </c>
      <c r="C24" s="26" t="str">
        <f>IF(OR($C$6="",$J$6="",$M$6=""),"",IF(HKI!$C24="","",HKI!$C24))</f>
        <v xml:space="preserve">Trương Công </v>
      </c>
      <c r="D24" s="152" t="str">
        <f>IF(OR($C$6="",$J$6="",$M$6=""),"",IF(HKI!$D24="","",HKI!$D24))</f>
        <v>Duẩn</v>
      </c>
      <c r="E24" s="467"/>
      <c r="F24" s="462">
        <v>9</v>
      </c>
      <c r="G24" s="462">
        <v>8</v>
      </c>
      <c r="H24" s="462">
        <v>8</v>
      </c>
      <c r="I24" s="462">
        <v>8</v>
      </c>
      <c r="J24" s="462">
        <v>7</v>
      </c>
      <c r="K24" s="462"/>
      <c r="L24" s="462"/>
      <c r="M24" s="462"/>
      <c r="N24" s="462"/>
      <c r="O24" s="198">
        <f t="shared" si="0"/>
        <v>8</v>
      </c>
      <c r="P24" s="204" t="str">
        <f t="shared" si="1"/>
        <v>Khá</v>
      </c>
    </row>
    <row r="25" spans="1:16" ht="18" customHeight="1">
      <c r="A25" s="123">
        <f>IF(OR($C$6="",$J$6="",$M$6=""),"",IF($B25="","",SUBTOTAL(3,$B$11:B25)))</f>
        <v>15</v>
      </c>
      <c r="B25" s="25" t="str">
        <f>IF(OR($C$6="",$J$6="",$M$6=""),"",IF(HKI!$B25="","",HKI!$B25))</f>
        <v>13D301Đ191</v>
      </c>
      <c r="C25" s="26" t="str">
        <f>IF(OR($C$6="",$J$6="",$M$6=""),"",IF(HKI!$C25="","",HKI!$C25))</f>
        <v>Nguyễn Hiền</v>
      </c>
      <c r="D25" s="152" t="str">
        <f>IF(OR($C$6="",$J$6="",$M$6=""),"",IF(HKI!$D25="","",HKI!$D25))</f>
        <v>Đức</v>
      </c>
      <c r="E25" s="467"/>
      <c r="F25" s="462">
        <v>9</v>
      </c>
      <c r="G25" s="462">
        <v>8</v>
      </c>
      <c r="H25" s="462">
        <v>7</v>
      </c>
      <c r="I25" s="462">
        <v>6</v>
      </c>
      <c r="J25" s="462">
        <v>6</v>
      </c>
      <c r="K25" s="462"/>
      <c r="L25" s="462"/>
      <c r="M25" s="462"/>
      <c r="N25" s="462"/>
      <c r="O25" s="198">
        <f t="shared" si="0"/>
        <v>7.2</v>
      </c>
      <c r="P25" s="204" t="str">
        <f t="shared" si="1"/>
        <v>Khá</v>
      </c>
    </row>
    <row r="26" spans="1:16" ht="18" customHeight="1">
      <c r="A26" s="123">
        <f>IF(OR($C$6="",$J$6="",$M$6=""),"",IF($B26="","",SUBTOTAL(3,$B$11:B26)))</f>
        <v>16</v>
      </c>
      <c r="B26" s="25" t="str">
        <f>IF(OR($C$6="",$J$6="",$M$6=""),"",IF(HKI!$B26="","",HKI!$B26))</f>
        <v>13D301Đ040</v>
      </c>
      <c r="C26" s="26" t="str">
        <f>IF(OR($C$6="",$J$6="",$M$6=""),"",IF(HKI!$C26="","",HKI!$C26))</f>
        <v>Nguyễn Văn</v>
      </c>
      <c r="D26" s="152" t="str">
        <f>IF(OR($C$6="",$J$6="",$M$6=""),"",IF(HKI!$D26="","",HKI!$D26))</f>
        <v>Đức</v>
      </c>
      <c r="E26" s="467"/>
      <c r="F26" s="462">
        <v>8</v>
      </c>
      <c r="G26" s="462">
        <v>9</v>
      </c>
      <c r="H26" s="462">
        <v>8</v>
      </c>
      <c r="I26" s="462">
        <v>5</v>
      </c>
      <c r="J26" s="462">
        <v>6</v>
      </c>
      <c r="K26" s="462"/>
      <c r="L26" s="462"/>
      <c r="M26" s="462"/>
      <c r="N26" s="462"/>
      <c r="O26" s="198">
        <f t="shared" si="0"/>
        <v>7.2</v>
      </c>
      <c r="P26" s="204" t="str">
        <f t="shared" si="1"/>
        <v>Khá</v>
      </c>
    </row>
    <row r="27" spans="1:16" ht="18" customHeight="1">
      <c r="A27" s="123">
        <f>IF(OR($C$6="",$J$6="",$M$6=""),"",IF($B27="","",SUBTOTAL(3,$B$11:B27)))</f>
        <v>17</v>
      </c>
      <c r="B27" s="25" t="str">
        <f>IF(OR($C$6="",$J$6="",$M$6=""),"",IF(HKI!$B27="","",HKI!$B27))</f>
        <v>13D301Đ025</v>
      </c>
      <c r="C27" s="26" t="str">
        <f>IF(OR($C$6="",$J$6="",$M$6=""),"",IF(HKI!$C27="","",HKI!$C27))</f>
        <v>Nguyễn Ngọc</v>
      </c>
      <c r="D27" s="152" t="str">
        <f>IF(OR($C$6="",$J$6="",$M$6=""),"",IF(HKI!$D27="","",HKI!$D27))</f>
        <v>Dũng</v>
      </c>
      <c r="E27" s="467"/>
      <c r="F27" s="462">
        <v>8</v>
      </c>
      <c r="G27" s="462">
        <v>7</v>
      </c>
      <c r="H27" s="462">
        <v>5</v>
      </c>
      <c r="I27" s="462">
        <v>6</v>
      </c>
      <c r="J27" s="462">
        <v>6</v>
      </c>
      <c r="K27" s="462"/>
      <c r="L27" s="462"/>
      <c r="M27" s="462"/>
      <c r="N27" s="462"/>
      <c r="O27" s="198">
        <f t="shared" si="0"/>
        <v>6.4</v>
      </c>
      <c r="P27" s="204" t="str">
        <f t="shared" si="1"/>
        <v>T.Bình</v>
      </c>
    </row>
    <row r="28" spans="1:16" ht="18" customHeight="1">
      <c r="A28" s="123">
        <f>IF(OR($C$6="",$J$6="",$M$6=""),"",IF($B28="","",SUBTOTAL(3,$B$11:B28)))</f>
        <v>18</v>
      </c>
      <c r="B28" s="25" t="str">
        <f>IF(OR($C$6="",$J$6="",$M$6=""),"",IF(HKI!$B28="","",HKI!$B28))</f>
        <v>13D301Đ192</v>
      </c>
      <c r="C28" s="26" t="str">
        <f>IF(OR($C$6="",$J$6="",$M$6=""),"",IF(HKI!$C28="","",HKI!$C28))</f>
        <v>Cao Trùng</v>
      </c>
      <c r="D28" s="152" t="str">
        <f>IF(OR($C$6="",$J$6="",$M$6=""),"",IF(HKI!$D28="","",HKI!$D28))</f>
        <v>Dương</v>
      </c>
      <c r="E28" s="467"/>
      <c r="F28" s="462">
        <v>9</v>
      </c>
      <c r="G28" s="462">
        <v>9</v>
      </c>
      <c r="H28" s="462">
        <v>8</v>
      </c>
      <c r="I28" s="462">
        <v>5</v>
      </c>
      <c r="J28" s="462">
        <v>5</v>
      </c>
      <c r="K28" s="462"/>
      <c r="L28" s="462"/>
      <c r="M28" s="462"/>
      <c r="N28" s="462"/>
      <c r="O28" s="198">
        <f t="shared" si="0"/>
        <v>7.2</v>
      </c>
      <c r="P28" s="204" t="str">
        <f t="shared" si="1"/>
        <v>Khá</v>
      </c>
    </row>
    <row r="29" spans="1:16" ht="18" customHeight="1">
      <c r="A29" s="123">
        <f>IF(OR($C$6="",$J$6="",$M$6=""),"",IF($B29="","",SUBTOTAL(3,$B$11:B29)))</f>
        <v>19</v>
      </c>
      <c r="B29" s="25" t="str">
        <f>IF(OR($C$6="",$J$6="",$M$6=""),"",IF(HKI!$B29="","",HKI!$B29))</f>
        <v>13D301Đ028</v>
      </c>
      <c r="C29" s="26" t="str">
        <f>IF(OR($C$6="",$J$6="",$M$6=""),"",IF(HKI!$C29="","",HKI!$C29))</f>
        <v>Hoàng Văn</v>
      </c>
      <c r="D29" s="152" t="str">
        <f>IF(OR($C$6="",$J$6="",$M$6=""),"",IF(HKI!$D29="","",HKI!$D29))</f>
        <v>Duy</v>
      </c>
      <c r="E29" s="467"/>
      <c r="F29" s="462">
        <v>4</v>
      </c>
      <c r="G29" s="462">
        <v>7</v>
      </c>
      <c r="H29" s="462">
        <v>5</v>
      </c>
      <c r="I29" s="462">
        <v>5</v>
      </c>
      <c r="J29" s="462">
        <v>5</v>
      </c>
      <c r="K29" s="462"/>
      <c r="L29" s="462"/>
      <c r="M29" s="462"/>
      <c r="N29" s="462"/>
      <c r="O29" s="198">
        <f t="shared" si="0"/>
        <v>5.2</v>
      </c>
      <c r="P29" s="204" t="str">
        <f t="shared" si="1"/>
        <v>TB Yếu</v>
      </c>
    </row>
    <row r="30" spans="1:16" ht="18" customHeight="1">
      <c r="A30" s="123">
        <f>IF(OR($C$6="",$J$6="",$M$6=""),"",IF($B30="","",SUBTOTAL(3,$B$11:B30)))</f>
        <v>20</v>
      </c>
      <c r="B30" s="25" t="str">
        <f>IF(OR($C$6="",$J$6="",$M$6=""),"",IF(HKI!$B30="","",HKI!$B30))</f>
        <v>13D301Đ181</v>
      </c>
      <c r="C30" s="26" t="str">
        <f>IF(OR($C$6="",$J$6="",$M$6=""),"",IF(HKI!$C30="","",HKI!$C30))</f>
        <v>Lâm Văn</v>
      </c>
      <c r="D30" s="152" t="str">
        <f>IF(OR($C$6="",$J$6="",$M$6=""),"",IF(HKI!$D30="","",HKI!$D30))</f>
        <v>Duy</v>
      </c>
      <c r="E30" s="467"/>
      <c r="F30" s="462">
        <v>9</v>
      </c>
      <c r="G30" s="462">
        <v>8</v>
      </c>
      <c r="H30" s="462">
        <v>8</v>
      </c>
      <c r="I30" s="462">
        <v>7</v>
      </c>
      <c r="J30" s="462">
        <v>7</v>
      </c>
      <c r="K30" s="462"/>
      <c r="L30" s="462"/>
      <c r="M30" s="462"/>
      <c r="N30" s="462"/>
      <c r="O30" s="198">
        <f t="shared" si="0"/>
        <v>7.8</v>
      </c>
      <c r="P30" s="204" t="str">
        <f t="shared" si="1"/>
        <v>Khá</v>
      </c>
    </row>
    <row r="31" spans="1:16" ht="18" customHeight="1">
      <c r="A31" s="123">
        <f>IF(OR($C$6="",$J$6="",$M$6=""),"",IF($B31="","",SUBTOTAL(3,$B$11:B31)))</f>
        <v>21</v>
      </c>
      <c r="B31" s="25" t="str">
        <f>IF(OR($C$6="",$J$6="",$M$6=""),"",IF(HKI!$B31="","",HKI!$B31))</f>
        <v>13D301Đ041</v>
      </c>
      <c r="C31" s="26" t="str">
        <f>IF(OR($C$6="",$J$6="",$M$6=""),"",IF(HKI!$C31="","",HKI!$C31))</f>
        <v>Lê Hoàng</v>
      </c>
      <c r="D31" s="152" t="str">
        <f>IF(OR($C$6="",$J$6="",$M$6=""),"",IF(HKI!$D31="","",HKI!$D31))</f>
        <v>Giang</v>
      </c>
      <c r="E31" s="467"/>
      <c r="F31" s="462">
        <v>8</v>
      </c>
      <c r="G31" s="462">
        <v>5</v>
      </c>
      <c r="H31" s="462">
        <v>5</v>
      </c>
      <c r="I31" s="462">
        <v>5</v>
      </c>
      <c r="J31" s="462">
        <v>6</v>
      </c>
      <c r="K31" s="462"/>
      <c r="L31" s="462"/>
      <c r="M31" s="462"/>
      <c r="N31" s="462"/>
      <c r="O31" s="198">
        <f t="shared" si="0"/>
        <v>5.8</v>
      </c>
      <c r="P31" s="204" t="str">
        <f t="shared" si="1"/>
        <v>T.Bình</v>
      </c>
    </row>
    <row r="32" spans="1:16" ht="18" customHeight="1">
      <c r="A32" s="123">
        <f>IF(OR($C$6="",$J$6="",$M$6=""),"",IF($B32="","",SUBTOTAL(3,$B$11:B32)))</f>
        <v>22</v>
      </c>
      <c r="B32" s="25" t="str">
        <f>IF(OR($C$6="",$J$6="",$M$6=""),"",IF(HKI!$B32="","",HKI!$B32))</f>
        <v>13D301Đ045</v>
      </c>
      <c r="C32" s="26" t="str">
        <f>IF(OR($C$6="",$J$6="",$M$6=""),"",IF(HKI!$C32="","",HKI!$C32))</f>
        <v>Lê Công</v>
      </c>
      <c r="D32" s="152" t="str">
        <f>IF(OR($C$6="",$J$6="",$M$6=""),"",IF(HKI!$D32="","",HKI!$D32))</f>
        <v>Hậu</v>
      </c>
      <c r="E32" s="467"/>
      <c r="F32" s="462">
        <v>8</v>
      </c>
      <c r="G32" s="462">
        <v>5</v>
      </c>
      <c r="H32" s="462">
        <v>5</v>
      </c>
      <c r="I32" s="462">
        <v>5</v>
      </c>
      <c r="J32" s="462">
        <v>6</v>
      </c>
      <c r="K32" s="462"/>
      <c r="L32" s="462"/>
      <c r="M32" s="462"/>
      <c r="N32" s="462"/>
      <c r="O32" s="198">
        <f t="shared" si="0"/>
        <v>5.8</v>
      </c>
      <c r="P32" s="204" t="str">
        <f t="shared" si="1"/>
        <v>T.Bình</v>
      </c>
    </row>
    <row r="33" spans="1:16" ht="18" customHeight="1">
      <c r="A33" s="123">
        <f>IF(OR($C$6="",$J$6="",$M$6=""),"",IF($B33="","",SUBTOTAL(3,$B$11:B33)))</f>
        <v>23</v>
      </c>
      <c r="B33" s="25" t="str">
        <f>IF(OR($C$6="",$J$6="",$M$6=""),"",IF(HKI!$B33="","",HKI!$B33))</f>
        <v>13D301Đ048</v>
      </c>
      <c r="C33" s="26" t="str">
        <f>IF(OR($C$6="",$J$6="",$M$6=""),"",IF(HKI!$C33="","",HKI!$C33))</f>
        <v>Hồ Văn</v>
      </c>
      <c r="D33" s="152" t="str">
        <f>IF(OR($C$6="",$J$6="",$M$6=""),"",IF(HKI!$D33="","",HKI!$D33))</f>
        <v>Hiệp</v>
      </c>
      <c r="E33" s="467"/>
      <c r="F33" s="462">
        <v>8</v>
      </c>
      <c r="G33" s="462">
        <v>9</v>
      </c>
      <c r="H33" s="462">
        <v>8</v>
      </c>
      <c r="I33" s="462">
        <v>5</v>
      </c>
      <c r="J33" s="462">
        <v>6</v>
      </c>
      <c r="K33" s="462"/>
      <c r="L33" s="462"/>
      <c r="M33" s="462"/>
      <c r="N33" s="462"/>
      <c r="O33" s="198">
        <f t="shared" si="0"/>
        <v>7.2</v>
      </c>
      <c r="P33" s="204" t="str">
        <f t="shared" si="1"/>
        <v>Khá</v>
      </c>
    </row>
    <row r="34" spans="1:16" ht="18" customHeight="1">
      <c r="A34" s="123">
        <f>IF(OR($C$6="",$J$6="",$M$6=""),"",IF($B34="","",SUBTOTAL(3,$B$11:B34)))</f>
        <v>24</v>
      </c>
      <c r="B34" s="25" t="str">
        <f>IF(OR($C$6="",$J$6="",$M$6=""),"",IF(HKI!$B34="","",HKI!$B34))</f>
        <v>13D301Đ049</v>
      </c>
      <c r="C34" s="26" t="str">
        <f>IF(OR($C$6="",$J$6="",$M$6=""),"",IF(HKI!$C34="","",HKI!$C34))</f>
        <v>Lê Minh</v>
      </c>
      <c r="D34" s="152" t="str">
        <f>IF(OR($C$6="",$J$6="",$M$6=""),"",IF(HKI!$D34="","",HKI!$D34))</f>
        <v>Hiếu</v>
      </c>
      <c r="E34" s="467"/>
      <c r="F34" s="462">
        <v>8</v>
      </c>
      <c r="G34" s="462">
        <v>5</v>
      </c>
      <c r="H34" s="462">
        <v>6</v>
      </c>
      <c r="I34" s="462">
        <v>5</v>
      </c>
      <c r="J34" s="462">
        <v>6</v>
      </c>
      <c r="K34" s="462"/>
      <c r="L34" s="462"/>
      <c r="M34" s="462"/>
      <c r="N34" s="462"/>
      <c r="O34" s="198">
        <f t="shared" si="0"/>
        <v>6</v>
      </c>
      <c r="P34" s="204" t="str">
        <f t="shared" si="1"/>
        <v>T.Bình</v>
      </c>
    </row>
    <row r="35" spans="1:16" ht="18" customHeight="1">
      <c r="A35" s="123">
        <f>IF(OR($C$6="",$J$6="",$M$6=""),"",IF($B35="","",SUBTOTAL(3,$B$11:B35)))</f>
        <v>25</v>
      </c>
      <c r="B35" s="25" t="str">
        <f>IF(OR($C$6="",$J$6="",$M$6=""),"",IF(HKI!$B35="","",HKI!$B35))</f>
        <v>13D301Đ053</v>
      </c>
      <c r="C35" s="26" t="str">
        <f>IF(OR($C$6="",$J$6="",$M$6=""),"",IF(HKI!$C35="","",HKI!$C35))</f>
        <v>Nguyễn Ngọc</v>
      </c>
      <c r="D35" s="152" t="str">
        <f>IF(OR($C$6="",$J$6="",$M$6=""),"",IF(HKI!$D35="","",HKI!$D35))</f>
        <v>Hoài</v>
      </c>
      <c r="E35" s="467"/>
      <c r="F35" s="462">
        <v>10</v>
      </c>
      <c r="G35" s="462">
        <v>7</v>
      </c>
      <c r="H35" s="462">
        <v>7</v>
      </c>
      <c r="I35" s="462">
        <v>7</v>
      </c>
      <c r="J35" s="462">
        <v>6</v>
      </c>
      <c r="K35" s="462"/>
      <c r="L35" s="462"/>
      <c r="M35" s="462"/>
      <c r="N35" s="462"/>
      <c r="O35" s="198">
        <f t="shared" si="0"/>
        <v>7.4</v>
      </c>
      <c r="P35" s="204" t="str">
        <f t="shared" si="1"/>
        <v>Khá</v>
      </c>
    </row>
    <row r="36" spans="1:16" ht="18" customHeight="1">
      <c r="A36" s="123">
        <f>IF(OR($C$6="",$J$6="",$M$6=""),"",IF($B36="","",SUBTOTAL(3,$B$11:B36)))</f>
        <v>26</v>
      </c>
      <c r="B36" s="25" t="str">
        <f>IF(OR($C$6="",$J$6="",$M$6=""),"",IF(HKI!$B36="","",HKI!$B36))</f>
        <v>13D301Đ056</v>
      </c>
      <c r="C36" s="26" t="str">
        <f>IF(OR($C$6="",$J$6="",$M$6=""),"",IF(HKI!$C36="","",HKI!$C36))</f>
        <v>Trần Huy</v>
      </c>
      <c r="D36" s="152" t="str">
        <f>IF(OR($C$6="",$J$6="",$M$6=""),"",IF(HKI!$D36="","",HKI!$D36))</f>
        <v>Hoàng</v>
      </c>
      <c r="E36" s="467"/>
      <c r="F36" s="462">
        <v>8</v>
      </c>
      <c r="G36" s="462">
        <v>9</v>
      </c>
      <c r="H36" s="462">
        <v>8</v>
      </c>
      <c r="I36" s="462">
        <v>5</v>
      </c>
      <c r="J36" s="462">
        <v>6</v>
      </c>
      <c r="K36" s="462"/>
      <c r="L36" s="462"/>
      <c r="M36" s="462"/>
      <c r="N36" s="462"/>
      <c r="O36" s="198">
        <f t="shared" si="0"/>
        <v>7.2</v>
      </c>
      <c r="P36" s="204" t="str">
        <f t="shared" si="1"/>
        <v>Khá</v>
      </c>
    </row>
    <row r="37" spans="1:16" ht="18" customHeight="1">
      <c r="A37" s="123">
        <f>IF(OR($C$6="",$J$6="",$M$6=""),"",IF($B37="","",SUBTOTAL(3,$B$11:B37)))</f>
        <v>27</v>
      </c>
      <c r="B37" s="25" t="str">
        <f>IF(OR($C$6="",$J$6="",$M$6=""),"",IF(HKI!$B37="","",HKI!$B37))</f>
        <v>13D301Đ057</v>
      </c>
      <c r="C37" s="26" t="str">
        <f>IF(OR($C$6="",$J$6="",$M$6=""),"",IF(HKI!$C37="","",HKI!$C37))</f>
        <v>Trịnh Thanh</v>
      </c>
      <c r="D37" s="152" t="str">
        <f>IF(OR($C$6="",$J$6="",$M$6=""),"",IF(HKI!$D37="","",HKI!$D37))</f>
        <v>Hoàng</v>
      </c>
      <c r="E37" s="467"/>
      <c r="F37" s="462">
        <v>6</v>
      </c>
      <c r="G37" s="462">
        <v>6</v>
      </c>
      <c r="H37" s="462">
        <v>4</v>
      </c>
      <c r="I37" s="462">
        <v>4</v>
      </c>
      <c r="J37" s="462">
        <v>5</v>
      </c>
      <c r="K37" s="462"/>
      <c r="L37" s="462"/>
      <c r="M37" s="462"/>
      <c r="N37" s="462"/>
      <c r="O37" s="198">
        <f t="shared" si="0"/>
        <v>5</v>
      </c>
      <c r="P37" s="204" t="str">
        <f t="shared" si="1"/>
        <v>TB Yếu</v>
      </c>
    </row>
    <row r="38" spans="1:16" ht="18" customHeight="1">
      <c r="A38" s="123">
        <f>IF(OR($C$6="",$J$6="",$M$6=""),"",IF($B38="","",SUBTOTAL(3,$B$11:B38)))</f>
        <v>28</v>
      </c>
      <c r="B38" s="25" t="str">
        <f>IF(OR($C$6="",$J$6="",$M$6=""),"",IF(HKI!$B38="","",HKI!$B38))</f>
        <v>13D301Đ201</v>
      </c>
      <c r="C38" s="26" t="str">
        <f>IF(OR($C$6="",$J$6="",$M$6=""),"",IF(HKI!$C38="","",HKI!$C38))</f>
        <v>Nguyễn Quang</v>
      </c>
      <c r="D38" s="152" t="str">
        <f>IF(OR($C$6="",$J$6="",$M$6=""),"",IF(HKI!$D38="","",HKI!$D38))</f>
        <v>Huân</v>
      </c>
      <c r="E38" s="467"/>
      <c r="F38" s="462">
        <v>0</v>
      </c>
      <c r="G38" s="462">
        <v>0</v>
      </c>
      <c r="H38" s="462">
        <v>0</v>
      </c>
      <c r="I38" s="462">
        <v>0</v>
      </c>
      <c r="J38" s="462">
        <v>0</v>
      </c>
      <c r="K38" s="462"/>
      <c r="L38" s="462"/>
      <c r="M38" s="462"/>
      <c r="N38" s="462"/>
      <c r="O38" s="198">
        <f t="shared" si="0"/>
        <v>0</v>
      </c>
      <c r="P38" s="204" t="str">
        <f t="shared" si="1"/>
        <v>Kém</v>
      </c>
    </row>
    <row r="39" spans="1:16" ht="18" customHeight="1">
      <c r="A39" s="123">
        <f>IF(OR($C$6="",$J$6="",$M$6=""),"",IF($B39="","",SUBTOTAL(3,$B$11:B39)))</f>
        <v>29</v>
      </c>
      <c r="B39" s="25" t="str">
        <f>IF(OR($C$6="",$J$6="",$M$6=""),"",IF(HKI!$B39="","",HKI!$B39))</f>
        <v>13D301Đ061</v>
      </c>
      <c r="C39" s="26" t="str">
        <f>IF(OR($C$6="",$J$6="",$M$6=""),"",IF(HKI!$C39="","",HKI!$C39))</f>
        <v>Huỳnh Thanh</v>
      </c>
      <c r="D39" s="152" t="str">
        <f>IF(OR($C$6="",$J$6="",$M$6=""),"",IF(HKI!$D39="","",HKI!$D39))</f>
        <v>Hùng</v>
      </c>
      <c r="E39" s="467"/>
      <c r="F39" s="462">
        <v>5</v>
      </c>
      <c r="G39" s="462">
        <v>6</v>
      </c>
      <c r="H39" s="462">
        <v>5</v>
      </c>
      <c r="I39" s="462">
        <v>5</v>
      </c>
      <c r="J39" s="462">
        <v>4</v>
      </c>
      <c r="K39" s="462"/>
      <c r="L39" s="462"/>
      <c r="M39" s="462"/>
      <c r="N39" s="462"/>
      <c r="O39" s="198">
        <f t="shared" si="0"/>
        <v>5</v>
      </c>
      <c r="P39" s="204" t="str">
        <f t="shared" si="1"/>
        <v>TB Yếu</v>
      </c>
    </row>
    <row r="40" spans="1:16" ht="18" customHeight="1">
      <c r="A40" s="123">
        <f>IF(OR($C$6="",$J$6="",$M$6=""),"",IF($B40="","",SUBTOTAL(3,$B$11:B40)))</f>
        <v>30</v>
      </c>
      <c r="B40" s="25" t="str">
        <f>IF(OR($C$6="",$J$6="",$M$6=""),"",IF(HKI!$B40="","",HKI!$B40))</f>
        <v>13D301Đ065</v>
      </c>
      <c r="C40" s="26" t="str">
        <f>IF(OR($C$6="",$J$6="",$M$6=""),"",IF(HKI!$C40="","",HKI!$C40))</f>
        <v>Đoàn Lê Xuân</v>
      </c>
      <c r="D40" s="152" t="str">
        <f>IF(OR($C$6="",$J$6="",$M$6=""),"",IF(HKI!$D40="","",HKI!$D40))</f>
        <v>Huy</v>
      </c>
      <c r="E40" s="467"/>
      <c r="F40" s="462">
        <v>6</v>
      </c>
      <c r="G40" s="462">
        <v>7</v>
      </c>
      <c r="H40" s="462">
        <v>5</v>
      </c>
      <c r="I40" s="462">
        <v>5</v>
      </c>
      <c r="J40" s="462">
        <v>4</v>
      </c>
      <c r="K40" s="462"/>
      <c r="L40" s="462"/>
      <c r="M40" s="462"/>
      <c r="N40" s="462"/>
      <c r="O40" s="198">
        <f t="shared" si="0"/>
        <v>5.4</v>
      </c>
      <c r="P40" s="204" t="str">
        <f t="shared" si="1"/>
        <v>TB Yếu</v>
      </c>
    </row>
    <row r="41" spans="1:16" ht="18" customHeight="1">
      <c r="A41" s="123">
        <f>IF(OR($C$6="",$J$6="",$M$6=""),"",IF($B41="","",SUBTOTAL(3,$B$11:B41)))</f>
        <v>31</v>
      </c>
      <c r="B41" s="25" t="str">
        <f>IF(OR($C$6="",$J$6="",$M$6=""),"",IF(HKI!$B41="","",HKI!$B41))</f>
        <v>13D301Đ073</v>
      </c>
      <c r="C41" s="26" t="str">
        <f>IF(OR($C$6="",$J$6="",$M$6=""),"",IF(HKI!$C41="","",HKI!$C41))</f>
        <v>Trịnh Đại</v>
      </c>
      <c r="D41" s="152" t="str">
        <f>IF(OR($C$6="",$J$6="",$M$6=""),"",IF(HKI!$D41="","",HKI!$D41))</f>
        <v>Lăng</v>
      </c>
      <c r="E41" s="467"/>
      <c r="F41" s="462">
        <v>5</v>
      </c>
      <c r="G41" s="462">
        <v>6</v>
      </c>
      <c r="H41" s="462">
        <v>5</v>
      </c>
      <c r="I41" s="462">
        <v>4</v>
      </c>
      <c r="J41" s="462">
        <v>5</v>
      </c>
      <c r="K41" s="462"/>
      <c r="L41" s="462"/>
      <c r="M41" s="462"/>
      <c r="N41" s="462"/>
      <c r="O41" s="198">
        <f t="shared" si="0"/>
        <v>5</v>
      </c>
      <c r="P41" s="204" t="str">
        <f t="shared" si="1"/>
        <v>TB Yếu</v>
      </c>
    </row>
    <row r="42" spans="1:16" ht="18" customHeight="1">
      <c r="A42" s="123">
        <f>IF(OR($C$6="",$J$6="",$M$6=""),"",IF($B42="","",SUBTOTAL(3,$B$11:B42)))</f>
        <v>32</v>
      </c>
      <c r="B42" s="25" t="str">
        <f>IF(OR($C$6="",$J$6="",$M$6=""),"",IF(HKI!$B42="","",HKI!$B42))</f>
        <v>13D301Đ204</v>
      </c>
      <c r="C42" s="26" t="str">
        <f>IF(OR($C$6="",$J$6="",$M$6=""),"",IF(HKI!$C42="","",HKI!$C42))</f>
        <v>Nguyễn Khánh</v>
      </c>
      <c r="D42" s="152" t="str">
        <f>IF(OR($C$6="",$J$6="",$M$6=""),"",IF(HKI!$D42="","",HKI!$D42))</f>
        <v>Linh</v>
      </c>
      <c r="E42" s="467"/>
      <c r="F42" s="462">
        <v>6</v>
      </c>
      <c r="G42" s="462">
        <v>6</v>
      </c>
      <c r="H42" s="462">
        <v>4</v>
      </c>
      <c r="I42" s="462">
        <v>4</v>
      </c>
      <c r="J42" s="462">
        <v>5</v>
      </c>
      <c r="K42" s="462"/>
      <c r="L42" s="462"/>
      <c r="M42" s="462"/>
      <c r="N42" s="462"/>
      <c r="O42" s="198">
        <f t="shared" si="0"/>
        <v>5</v>
      </c>
      <c r="P42" s="204" t="str">
        <f t="shared" si="1"/>
        <v>TB Yếu</v>
      </c>
    </row>
    <row r="43" spans="1:16" ht="18" customHeight="1">
      <c r="A43" s="123">
        <f>IF(OR($C$6="",$J$6="",$M$6=""),"",IF($B43="","",SUBTOTAL(3,$B$11:B43)))</f>
        <v>33</v>
      </c>
      <c r="B43" s="25" t="str">
        <f>IF(OR($C$6="",$J$6="",$M$6=""),"",IF(HKI!$B43="","",HKI!$B43))</f>
        <v>13D301Đ162</v>
      </c>
      <c r="C43" s="26" t="str">
        <f>IF(OR($C$6="",$J$6="",$M$6=""),"",IF(HKI!$C43="","",HKI!$C43))</f>
        <v>Đỗ Văn</v>
      </c>
      <c r="D43" s="152" t="str">
        <f>IF(OR($C$6="",$J$6="",$M$6=""),"",IF(HKI!$D43="","",HKI!$D43))</f>
        <v>Lượng</v>
      </c>
      <c r="E43" s="467"/>
      <c r="F43" s="462">
        <v>6</v>
      </c>
      <c r="G43" s="462">
        <v>5</v>
      </c>
      <c r="H43" s="462">
        <v>5</v>
      </c>
      <c r="I43" s="462">
        <v>5</v>
      </c>
      <c r="J43" s="462">
        <v>4</v>
      </c>
      <c r="K43" s="462"/>
      <c r="L43" s="462"/>
      <c r="M43" s="462"/>
      <c r="N43" s="462"/>
      <c r="O43" s="198">
        <f t="shared" si="0"/>
        <v>5</v>
      </c>
      <c r="P43" s="204" t="str">
        <f t="shared" si="1"/>
        <v>TB Yếu</v>
      </c>
    </row>
    <row r="44" spans="1:16" ht="18" customHeight="1">
      <c r="A44" s="123">
        <f>IF(OR($C$6="",$J$6="",$M$6=""),"",IF($B44="","",SUBTOTAL(3,$B$11:B44)))</f>
        <v>34</v>
      </c>
      <c r="B44" s="25" t="str">
        <f>IF(OR($C$6="",$J$6="",$M$6=""),"",IF(HKI!$B44="","",HKI!$B44))</f>
        <v>13D301Đ081</v>
      </c>
      <c r="C44" s="26" t="str">
        <f>IF(OR($C$6="",$J$6="",$M$6=""),"",IF(HKI!$C44="","",HKI!$C44))</f>
        <v>Mai Đình</v>
      </c>
      <c r="D44" s="152" t="str">
        <f>IF(OR($C$6="",$J$6="",$M$6=""),"",IF(HKI!$D44="","",HKI!$D44))</f>
        <v>Luyện</v>
      </c>
      <c r="E44" s="467"/>
      <c r="F44" s="462">
        <v>6</v>
      </c>
      <c r="G44" s="462">
        <v>5</v>
      </c>
      <c r="H44" s="462">
        <v>5</v>
      </c>
      <c r="I44" s="462">
        <v>5</v>
      </c>
      <c r="J44" s="462">
        <v>4</v>
      </c>
      <c r="K44" s="462"/>
      <c r="L44" s="462"/>
      <c r="M44" s="462"/>
      <c r="N44" s="462"/>
      <c r="O44" s="198">
        <f t="shared" si="0"/>
        <v>5</v>
      </c>
      <c r="P44" s="204" t="str">
        <f t="shared" si="1"/>
        <v>TB Yếu</v>
      </c>
    </row>
    <row r="45" spans="1:16" ht="18" customHeight="1">
      <c r="A45" s="123">
        <f>IF(OR($C$6="",$J$6="",$M$6=""),"",IF($B45="","",SUBTOTAL(3,$B$11:B45)))</f>
        <v>35</v>
      </c>
      <c r="B45" s="25" t="str">
        <f>IF(OR($C$6="",$J$6="",$M$6=""),"",IF(HKI!$B45="","",HKI!$B45))</f>
        <v>13D301Đ085</v>
      </c>
      <c r="C45" s="26" t="str">
        <f>IF(OR($C$6="",$J$6="",$M$6=""),"",IF(HKI!$C45="","",HKI!$C45))</f>
        <v>Võ Hoài</v>
      </c>
      <c r="D45" s="152" t="str">
        <f>IF(OR($C$6="",$J$6="",$M$6=""),"",IF(HKI!$D45="","",HKI!$D45))</f>
        <v>Nam</v>
      </c>
      <c r="E45" s="467"/>
      <c r="F45" s="462">
        <v>6</v>
      </c>
      <c r="G45" s="462">
        <v>6</v>
      </c>
      <c r="H45" s="462">
        <v>4</v>
      </c>
      <c r="I45" s="462">
        <v>4</v>
      </c>
      <c r="J45" s="462">
        <v>5</v>
      </c>
      <c r="K45" s="462"/>
      <c r="L45" s="462"/>
      <c r="M45" s="462"/>
      <c r="N45" s="462"/>
      <c r="O45" s="198">
        <f t="shared" si="0"/>
        <v>5</v>
      </c>
      <c r="P45" s="204" t="str">
        <f t="shared" si="1"/>
        <v>TB Yếu</v>
      </c>
    </row>
    <row r="46" spans="1:16" ht="18" customHeight="1">
      <c r="A46" s="123">
        <f>IF(OR($C$6="",$J$6="",$M$6=""),"",IF($B46="","",SUBTOTAL(3,$B$11:B46)))</f>
        <v>36</v>
      </c>
      <c r="B46" s="25" t="str">
        <f>IF(OR($C$6="",$J$6="",$M$6=""),"",IF(HKI!$B46="","",HKI!$B46))</f>
        <v>13D301Đ089</v>
      </c>
      <c r="C46" s="26" t="str">
        <f>IF(OR($C$6="",$J$6="",$M$6=""),"",IF(HKI!$C46="","",HKI!$C46))</f>
        <v>Nguyễn Hữu</v>
      </c>
      <c r="D46" s="152" t="str">
        <f>IF(OR($C$6="",$J$6="",$M$6=""),"",IF(HKI!$D46="","",HKI!$D46))</f>
        <v>Nghĩa</v>
      </c>
      <c r="E46" s="467"/>
      <c r="F46" s="462">
        <v>6</v>
      </c>
      <c r="G46" s="462">
        <v>7</v>
      </c>
      <c r="H46" s="462">
        <v>6</v>
      </c>
      <c r="I46" s="462">
        <v>7</v>
      </c>
      <c r="J46" s="462">
        <v>6</v>
      </c>
      <c r="K46" s="462"/>
      <c r="L46" s="462"/>
      <c r="M46" s="462"/>
      <c r="N46" s="462"/>
      <c r="O46" s="198">
        <f t="shared" si="0"/>
        <v>6.4</v>
      </c>
      <c r="P46" s="204" t="str">
        <f t="shared" si="1"/>
        <v>T.Bình</v>
      </c>
    </row>
    <row r="47" spans="1:16" ht="18" customHeight="1">
      <c r="A47" s="123">
        <f>IF(OR($C$6="",$J$6="",$M$6=""),"",IF($B47="","",SUBTOTAL(3,$B$11:B47)))</f>
        <v>37</v>
      </c>
      <c r="B47" s="25" t="str">
        <f>IF(OR($C$6="",$J$6="",$M$6=""),"",IF(HKI!$B47="","",HKI!$B47))</f>
        <v>13D301Đ097</v>
      </c>
      <c r="C47" s="26" t="str">
        <f>IF(OR($C$6="",$J$6="",$M$6=""),"",IF(HKI!$C47="","",HKI!$C47))</f>
        <v>Nguyễn Thành</v>
      </c>
      <c r="D47" s="152" t="str">
        <f>IF(OR($C$6="",$J$6="",$M$6=""),"",IF(HKI!$D47="","",HKI!$D47))</f>
        <v>Phát</v>
      </c>
      <c r="E47" s="467"/>
      <c r="F47" s="462">
        <v>5</v>
      </c>
      <c r="G47" s="462">
        <v>7</v>
      </c>
      <c r="H47" s="462">
        <v>5</v>
      </c>
      <c r="I47" s="462">
        <v>4</v>
      </c>
      <c r="J47" s="462">
        <v>5</v>
      </c>
      <c r="K47" s="462"/>
      <c r="L47" s="462"/>
      <c r="M47" s="462"/>
      <c r="N47" s="462"/>
      <c r="O47" s="198">
        <f t="shared" si="0"/>
        <v>5.2</v>
      </c>
      <c r="P47" s="204" t="str">
        <f t="shared" si="1"/>
        <v>TB Yếu</v>
      </c>
    </row>
    <row r="48" spans="1:16" ht="18" customHeight="1">
      <c r="A48" s="123">
        <f>IF(OR($C$6="",$J$6="",$M$6=""),"",IF($B48="","",SUBTOTAL(3,$B$11:B48)))</f>
        <v>38</v>
      </c>
      <c r="B48" s="25" t="str">
        <f>IF(OR($C$6="",$J$6="",$M$6=""),"",IF(HKI!$B48="","",HKI!$B48))</f>
        <v>13D301Đ101</v>
      </c>
      <c r="C48" s="26" t="str">
        <f>IF(OR($C$6="",$J$6="",$M$6=""),"",IF(HKI!$C48="","",HKI!$C48))</f>
        <v>Huỳnh Thanh</v>
      </c>
      <c r="D48" s="152" t="str">
        <f>IF(OR($C$6="",$J$6="",$M$6=""),"",IF(HKI!$D48="","",HKI!$D48))</f>
        <v>Phú</v>
      </c>
      <c r="E48" s="467"/>
      <c r="F48" s="462">
        <v>0</v>
      </c>
      <c r="G48" s="462">
        <v>0</v>
      </c>
      <c r="H48" s="462">
        <v>0</v>
      </c>
      <c r="I48" s="462">
        <v>0</v>
      </c>
      <c r="J48" s="462">
        <v>0</v>
      </c>
      <c r="K48" s="462"/>
      <c r="L48" s="462"/>
      <c r="M48" s="462"/>
      <c r="N48" s="462"/>
      <c r="O48" s="198">
        <f t="shared" si="0"/>
        <v>0</v>
      </c>
      <c r="P48" s="204" t="str">
        <f t="shared" si="1"/>
        <v>Kém</v>
      </c>
    </row>
    <row r="49" spans="1:16" ht="18" customHeight="1">
      <c r="A49" s="123">
        <f>IF(OR($C$6="",$J$6="",$M$6=""),"",IF($B49="","",SUBTOTAL(3,$B$11:B49)))</f>
        <v>39</v>
      </c>
      <c r="B49" s="25" t="str">
        <f>IF(OR($C$6="",$J$6="",$M$6=""),"",IF(HKI!$B49="","",HKI!$B49))</f>
        <v>13D301Đ117</v>
      </c>
      <c r="C49" s="26" t="str">
        <f>IF(OR($C$6="",$J$6="",$M$6=""),"",IF(HKI!$C49="","",HKI!$C49))</f>
        <v>Trịnh Ngọc</v>
      </c>
      <c r="D49" s="152" t="str">
        <f>IF(OR($C$6="",$J$6="",$M$6=""),"",IF(HKI!$D49="","",HKI!$D49))</f>
        <v>Sơn</v>
      </c>
      <c r="E49" s="467"/>
      <c r="F49" s="462">
        <v>0</v>
      </c>
      <c r="G49" s="462">
        <v>0</v>
      </c>
      <c r="H49" s="462">
        <v>0</v>
      </c>
      <c r="I49" s="462">
        <v>0</v>
      </c>
      <c r="J49" s="462">
        <v>0</v>
      </c>
      <c r="K49" s="462"/>
      <c r="L49" s="462"/>
      <c r="M49" s="462"/>
      <c r="N49" s="462"/>
      <c r="O49" s="198">
        <f t="shared" si="0"/>
        <v>0</v>
      </c>
      <c r="P49" s="204" t="str">
        <f t="shared" si="1"/>
        <v>Kém</v>
      </c>
    </row>
    <row r="50" spans="1:16" ht="18" customHeight="1">
      <c r="A50" s="123">
        <f>IF(OR($C$6="",$J$6="",$M$6=""),"",IF($B50="","",SUBTOTAL(3,$B$11:B50)))</f>
        <v>40</v>
      </c>
      <c r="B50" s="25" t="str">
        <f>IF(OR($C$6="",$J$6="",$M$6=""),"",IF(HKI!$B50="","",HKI!$B50))</f>
        <v>13D301Đ121</v>
      </c>
      <c r="C50" s="26" t="str">
        <f>IF(OR($C$6="",$J$6="",$M$6=""),"",IF(HKI!$C50="","",HKI!$C50))</f>
        <v>Lê Minh</v>
      </c>
      <c r="D50" s="152" t="str">
        <f>IF(OR($C$6="",$J$6="",$M$6=""),"",IF(HKI!$D50="","",HKI!$D50))</f>
        <v>Tâm</v>
      </c>
      <c r="E50" s="467"/>
      <c r="F50" s="462">
        <v>5</v>
      </c>
      <c r="G50" s="462">
        <v>6</v>
      </c>
      <c r="H50" s="462">
        <v>5</v>
      </c>
      <c r="I50" s="462">
        <v>4</v>
      </c>
      <c r="J50" s="462">
        <v>5</v>
      </c>
      <c r="K50" s="462"/>
      <c r="L50" s="462"/>
      <c r="M50" s="462"/>
      <c r="N50" s="462"/>
      <c r="O50" s="198">
        <f t="shared" si="0"/>
        <v>5</v>
      </c>
      <c r="P50" s="204" t="str">
        <f t="shared" si="1"/>
        <v>TB Yếu</v>
      </c>
    </row>
    <row r="51" spans="1:16" ht="18" customHeight="1">
      <c r="A51" s="123">
        <f>IF(OR($C$6="",$J$6="",$M$6=""),"",IF($B51="","",SUBTOTAL(3,$B$11:B51)))</f>
        <v>41</v>
      </c>
      <c r="B51" s="25" t="str">
        <f>IF(OR($C$6="",$J$6="",$M$6=""),"",IF(HKI!$B51="","",HKI!$B51))</f>
        <v>13D301Đ124</v>
      </c>
      <c r="C51" s="26" t="str">
        <f>IF(OR($C$6="",$J$6="",$M$6=""),"",IF(HKI!$C51="","",HKI!$C51))</f>
        <v>Cao Nguyễn Nhật</v>
      </c>
      <c r="D51" s="152" t="str">
        <f>IF(OR($C$6="",$J$6="",$M$6=""),"",IF(HKI!$D51="","",HKI!$D51))</f>
        <v>Tân</v>
      </c>
      <c r="E51" s="467"/>
      <c r="F51" s="462">
        <v>6</v>
      </c>
      <c r="G51" s="462">
        <v>6</v>
      </c>
      <c r="H51" s="462">
        <v>6</v>
      </c>
      <c r="I51" s="462">
        <v>7</v>
      </c>
      <c r="J51" s="462">
        <v>6</v>
      </c>
      <c r="K51" s="462"/>
      <c r="L51" s="462"/>
      <c r="M51" s="462"/>
      <c r="N51" s="462"/>
      <c r="O51" s="198">
        <f t="shared" si="0"/>
        <v>6.2</v>
      </c>
      <c r="P51" s="204" t="str">
        <f t="shared" si="1"/>
        <v>T.Bình</v>
      </c>
    </row>
    <row r="52" spans="1:16" ht="18" customHeight="1">
      <c r="A52" s="123">
        <f>IF(OR($C$6="",$J$6="",$M$6=""),"",IF($B52="","",SUBTOTAL(3,$B$11:B52)))</f>
        <v>42</v>
      </c>
      <c r="B52" s="25" t="str">
        <f>IF(OR($C$6="",$J$6="",$M$6=""),"",IF(HKI!$B52="","",HKI!$B52))</f>
        <v>13D301Đ130</v>
      </c>
      <c r="C52" s="26" t="str">
        <f>IF(OR($C$6="",$J$6="",$M$6=""),"",IF(HKI!$C52="","",HKI!$C52))</f>
        <v>Nguyễn Việt</v>
      </c>
      <c r="D52" s="152" t="str">
        <f>IF(OR($C$6="",$J$6="",$M$6=""),"",IF(HKI!$D52="","",HKI!$D52))</f>
        <v>Thắng</v>
      </c>
      <c r="E52" s="467"/>
      <c r="F52" s="462">
        <v>6</v>
      </c>
      <c r="G52" s="462">
        <v>5</v>
      </c>
      <c r="H52" s="462">
        <v>6</v>
      </c>
      <c r="I52" s="462">
        <v>6</v>
      </c>
      <c r="J52" s="462">
        <v>6</v>
      </c>
      <c r="K52" s="462"/>
      <c r="L52" s="462"/>
      <c r="M52" s="462"/>
      <c r="N52" s="462"/>
      <c r="O52" s="198">
        <f t="shared" si="0"/>
        <v>5.8</v>
      </c>
      <c r="P52" s="204" t="str">
        <f t="shared" si="1"/>
        <v>T.Bình</v>
      </c>
    </row>
    <row r="53" spans="1:16" ht="18" customHeight="1">
      <c r="A53" s="123">
        <f>IF(OR($C$6="",$J$6="",$M$6=""),"",IF($B53="","",SUBTOTAL(3,$B$11:B53)))</f>
        <v>43</v>
      </c>
      <c r="B53" s="25" t="str">
        <f>IF(OR($C$6="",$J$6="",$M$6=""),"",IF(HKI!$B53="","",HKI!$B53))</f>
        <v>13D301Đ136</v>
      </c>
      <c r="C53" s="26" t="str">
        <f>IF(OR($C$6="",$J$6="",$M$6=""),"",IF(HKI!$C53="","",HKI!$C53))</f>
        <v>Trần Minh</v>
      </c>
      <c r="D53" s="152" t="str">
        <f>IF(OR($C$6="",$J$6="",$M$6=""),"",IF(HKI!$D53="","",HKI!$D53))</f>
        <v>Thanh</v>
      </c>
      <c r="E53" s="467"/>
      <c r="F53" s="462">
        <v>6</v>
      </c>
      <c r="G53" s="462">
        <v>9</v>
      </c>
      <c r="H53" s="462">
        <v>9</v>
      </c>
      <c r="I53" s="462">
        <v>8</v>
      </c>
      <c r="J53" s="462">
        <v>9</v>
      </c>
      <c r="K53" s="462"/>
      <c r="L53" s="462"/>
      <c r="M53" s="462"/>
      <c r="N53" s="462"/>
      <c r="O53" s="198">
        <f t="shared" si="0"/>
        <v>8.1999999999999993</v>
      </c>
      <c r="P53" s="204" t="str">
        <f t="shared" si="1"/>
        <v>Khá</v>
      </c>
    </row>
    <row r="54" spans="1:16" ht="18" customHeight="1">
      <c r="A54" s="123">
        <f>IF(OR($C$6="",$J$6="",$M$6=""),"",IF($B54="","",SUBTOTAL(3,$B$11:B54)))</f>
        <v>44</v>
      </c>
      <c r="B54" s="25" t="str">
        <f>IF(OR($C$6="",$J$6="",$M$6=""),"",IF(HKI!$B54="","",HKI!$B54))</f>
        <v>13D301Đ133</v>
      </c>
      <c r="C54" s="26" t="str">
        <f>IF(OR($C$6="",$J$6="",$M$6=""),"",IF(HKI!$C54="","",HKI!$C54))</f>
        <v>Nguyễn Khắc</v>
      </c>
      <c r="D54" s="152" t="str">
        <f>IF(OR($C$6="",$J$6="",$M$6=""),"",IF(HKI!$D54="","",HKI!$D54))</f>
        <v>Thành</v>
      </c>
      <c r="E54" s="467"/>
      <c r="F54" s="462">
        <v>6</v>
      </c>
      <c r="G54" s="462">
        <v>8</v>
      </c>
      <c r="H54" s="462">
        <v>6</v>
      </c>
      <c r="I54" s="462">
        <v>6</v>
      </c>
      <c r="J54" s="462">
        <v>7</v>
      </c>
      <c r="K54" s="462"/>
      <c r="L54" s="462"/>
      <c r="M54" s="462"/>
      <c r="N54" s="462"/>
      <c r="O54" s="198">
        <f t="shared" si="0"/>
        <v>6.6</v>
      </c>
      <c r="P54" s="204" t="str">
        <f t="shared" si="1"/>
        <v>T.Bình</v>
      </c>
    </row>
    <row r="55" spans="1:16" ht="18" customHeight="1">
      <c r="A55" s="123">
        <f>IF(OR($C$6="",$J$6="",$M$6=""),"",IF($B55="","",SUBTOTAL(3,$B$11:B55)))</f>
        <v>45</v>
      </c>
      <c r="B55" s="25" t="str">
        <f>IF(OR($C$6="",$J$6="",$M$6=""),"",IF(HKI!$B55="","",HKI!$B55))</f>
        <v>13D301Đ169</v>
      </c>
      <c r="C55" s="26" t="str">
        <f>IF(OR($C$6="",$J$6="",$M$6=""),"",IF(HKI!$C55="","",HKI!$C55))</f>
        <v>Nguyễn Thanh</v>
      </c>
      <c r="D55" s="152" t="str">
        <f>IF(OR($C$6="",$J$6="",$M$6=""),"",IF(HKI!$D55="","",HKI!$D55))</f>
        <v>Thảo</v>
      </c>
      <c r="E55" s="467"/>
      <c r="F55" s="462">
        <v>6</v>
      </c>
      <c r="G55" s="462">
        <v>4</v>
      </c>
      <c r="H55" s="462">
        <v>5</v>
      </c>
      <c r="I55" s="462">
        <v>5</v>
      </c>
      <c r="J55" s="462">
        <v>5</v>
      </c>
      <c r="K55" s="462"/>
      <c r="L55" s="462"/>
      <c r="M55" s="462"/>
      <c r="N55" s="462"/>
      <c r="O55" s="198">
        <f t="shared" si="0"/>
        <v>5</v>
      </c>
      <c r="P55" s="204" t="str">
        <f t="shared" si="1"/>
        <v>TB Yếu</v>
      </c>
    </row>
    <row r="56" spans="1:16" ht="18" customHeight="1">
      <c r="A56" s="123">
        <f>IF(OR($C$6="",$J$6="",$M$6=""),"",IF($B56="","",SUBTOTAL(3,$B$11:B56)))</f>
        <v>46</v>
      </c>
      <c r="B56" s="25" t="str">
        <f>IF(OR($C$6="",$J$6="",$M$6=""),"",IF(HKI!$B56="","",HKI!$B56))</f>
        <v>13D301Đ154</v>
      </c>
      <c r="C56" s="26" t="str">
        <f>IF(OR($C$6="",$J$6="",$M$6=""),"",IF(HKI!$C56="","",HKI!$C56))</f>
        <v>Võ Đức</v>
      </c>
      <c r="D56" s="152" t="str">
        <f>IF(OR($C$6="",$J$6="",$M$6=""),"",IF(HKI!$D56="","",HKI!$D56))</f>
        <v>Trí</v>
      </c>
      <c r="E56" s="467"/>
      <c r="F56" s="462">
        <v>6</v>
      </c>
      <c r="G56" s="462">
        <v>6</v>
      </c>
      <c r="H56" s="462">
        <v>4</v>
      </c>
      <c r="I56" s="462">
        <v>5</v>
      </c>
      <c r="J56" s="462">
        <v>4</v>
      </c>
      <c r="K56" s="462"/>
      <c r="L56" s="462"/>
      <c r="M56" s="462"/>
      <c r="N56" s="462"/>
      <c r="O56" s="198">
        <f t="shared" si="0"/>
        <v>5</v>
      </c>
      <c r="P56" s="204" t="str">
        <f t="shared" si="1"/>
        <v>TB Yếu</v>
      </c>
    </row>
    <row r="57" spans="1:16" s="148" customFormat="1" ht="18" customHeight="1">
      <c r="A57" s="123">
        <f>IF(OR($C$6="",$J$6="",$M$6=""),"",IF($B57="","",SUBTOTAL(3,$B$11:B57)))</f>
        <v>47</v>
      </c>
      <c r="B57" s="25" t="str">
        <f>IF(OR($C$6="",$J$6="",$M$6=""),"",IF(HKI!$B57="","",HKI!$B57))</f>
        <v>13D301Đ160</v>
      </c>
      <c r="C57" s="26" t="str">
        <f>IF(OR($C$6="",$J$6="",$M$6=""),"",IF(HKI!$C57="","",HKI!$C57))</f>
        <v>Nguyễn Bá</v>
      </c>
      <c r="D57" s="152" t="str">
        <f>IF(OR($C$6="",$J$6="",$M$6=""),"",IF(HKI!$D57="","",HKI!$D57))</f>
        <v>Trung</v>
      </c>
      <c r="E57" s="467"/>
      <c r="F57" s="462">
        <v>6</v>
      </c>
      <c r="G57" s="462">
        <v>6</v>
      </c>
      <c r="H57" s="462">
        <v>4</v>
      </c>
      <c r="I57" s="462">
        <v>5</v>
      </c>
      <c r="J57" s="462">
        <v>4</v>
      </c>
      <c r="K57" s="462"/>
      <c r="L57" s="462"/>
      <c r="M57" s="462"/>
      <c r="N57" s="462"/>
      <c r="O57" s="198">
        <f t="shared" si="0"/>
        <v>5</v>
      </c>
      <c r="P57" s="204" t="str">
        <f t="shared" si="1"/>
        <v>TB Yếu</v>
      </c>
    </row>
    <row r="58" spans="1:16" s="148" customFormat="1" ht="18" customHeight="1">
      <c r="A58" s="123">
        <f>IF(OR($C$6="",$J$6="",$M$6=""),"",IF($B58="","",SUBTOTAL(3,$B$11:B58)))</f>
        <v>48</v>
      </c>
      <c r="B58" s="25" t="str">
        <f>IF(OR($C$6="",$J$6="",$M$6=""),"",IF(HKI!$B58="","",HKI!$B58))</f>
        <v>13D301Đ163</v>
      </c>
      <c r="C58" s="26" t="str">
        <f>IF(OR($C$6="",$J$6="",$M$6=""),"",IF(HKI!$C58="","",HKI!$C58))</f>
        <v>Mai Ngọc</v>
      </c>
      <c r="D58" s="152" t="str">
        <f>IF(OR($C$6="",$J$6="",$M$6=""),"",IF(HKI!$D58="","",HKI!$D58))</f>
        <v>Trước</v>
      </c>
      <c r="E58" s="467"/>
      <c r="F58" s="462">
        <v>7</v>
      </c>
      <c r="G58" s="462">
        <v>7</v>
      </c>
      <c r="H58" s="462">
        <v>6</v>
      </c>
      <c r="I58" s="462">
        <v>6</v>
      </c>
      <c r="J58" s="462">
        <v>6</v>
      </c>
      <c r="K58" s="462"/>
      <c r="L58" s="462"/>
      <c r="M58" s="462"/>
      <c r="N58" s="462"/>
      <c r="O58" s="198">
        <f t="shared" si="0"/>
        <v>6.4</v>
      </c>
      <c r="P58" s="204" t="str">
        <f t="shared" si="1"/>
        <v>T.Bình</v>
      </c>
    </row>
    <row r="59" spans="1:16" ht="18" customHeight="1">
      <c r="A59" s="123">
        <f>IF(OR($C$6="",$J$6="",$M$6=""),"",IF($B59="","",SUBTOTAL(3,$B$11:B59)))</f>
        <v>49</v>
      </c>
      <c r="B59" s="25" t="str">
        <f>IF(OR($C$6="",$J$6="",$M$6=""),"",IF(HKI!$B59="","",HKI!$B59))</f>
        <v>13D301Đ166</v>
      </c>
      <c r="C59" s="26" t="str">
        <f>IF(OR($C$6="",$J$6="",$M$6=""),"",IF(HKI!$C59="","",HKI!$C59))</f>
        <v>Nguyễn Văn</v>
      </c>
      <c r="D59" s="152" t="str">
        <f>IF(OR($C$6="",$J$6="",$M$6=""),"",IF(HKI!$D59="","",HKI!$D59))</f>
        <v>Tư</v>
      </c>
      <c r="E59" s="467"/>
      <c r="F59" s="462">
        <v>0</v>
      </c>
      <c r="G59" s="462">
        <v>0</v>
      </c>
      <c r="H59" s="462">
        <v>0</v>
      </c>
      <c r="I59" s="462">
        <v>0</v>
      </c>
      <c r="J59" s="462">
        <v>0</v>
      </c>
      <c r="K59" s="462"/>
      <c r="L59" s="462"/>
      <c r="M59" s="462"/>
      <c r="N59" s="462"/>
      <c r="O59" s="198">
        <f t="shared" si="0"/>
        <v>0</v>
      </c>
      <c r="P59" s="204" t="str">
        <f t="shared" si="1"/>
        <v>Kém</v>
      </c>
    </row>
    <row r="60" spans="1:16" ht="18" customHeight="1">
      <c r="A60" s="123">
        <f>IF(OR($C$6="",$J$6="",$M$6=""),"",IF($B60="","",SUBTOTAL(3,$B$11:B60)))</f>
        <v>50</v>
      </c>
      <c r="B60" s="25" t="str">
        <f>IF(OR($C$6="",$J$6="",$M$6=""),"",IF(HKI!$B60="","",HKI!$B60))</f>
        <v>13D301Đ178</v>
      </c>
      <c r="C60" s="26" t="str">
        <f>IF(OR($C$6="",$J$6="",$M$6=""),"",IF(HKI!$C60="","",HKI!$C60))</f>
        <v>Lê Văn</v>
      </c>
      <c r="D60" s="152" t="str">
        <f>IF(OR($C$6="",$J$6="",$M$6=""),"",IF(HKI!$D60="","",HKI!$D60))</f>
        <v>Vũ</v>
      </c>
      <c r="E60" s="467"/>
      <c r="F60" s="462">
        <v>0</v>
      </c>
      <c r="G60" s="462">
        <v>0</v>
      </c>
      <c r="H60" s="462">
        <v>0</v>
      </c>
      <c r="I60" s="462">
        <v>0</v>
      </c>
      <c r="J60" s="462">
        <v>0</v>
      </c>
      <c r="K60" s="462"/>
      <c r="L60" s="462"/>
      <c r="M60" s="462"/>
      <c r="N60" s="462"/>
      <c r="O60" s="198">
        <f t="shared" si="0"/>
        <v>0</v>
      </c>
      <c r="P60" s="204" t="str">
        <f t="shared" si="1"/>
        <v>Kém</v>
      </c>
    </row>
    <row r="61" spans="1:16" ht="18" customHeight="1">
      <c r="A61" s="123" t="str">
        <f>IF(OR($C$6="",$J$6="",$M$6=""),"",IF($B61="","",SUBTOTAL(3,$B$11:B61)))</f>
        <v/>
      </c>
      <c r="B61" s="25" t="str">
        <f>IF(OR($C$6="",$J$6="",$M$6=""),"",IF(HKI!$B61="","",HKI!$B61))</f>
        <v/>
      </c>
      <c r="C61" s="26" t="str">
        <f>IF(OR($C$6="",$J$6="",$M$6=""),"",IF(HKI!$C61="","",HKI!$C61))</f>
        <v/>
      </c>
      <c r="D61" s="152" t="str">
        <f>IF(OR($C$6="",$J$6="",$M$6=""),"",IF(HKI!$D61="","",HKI!$D61))</f>
        <v/>
      </c>
      <c r="E61" s="44"/>
      <c r="F61" s="201"/>
      <c r="G61" s="199"/>
      <c r="H61" s="199"/>
      <c r="I61" s="200"/>
      <c r="J61" s="200"/>
      <c r="K61" s="200"/>
      <c r="L61" s="199"/>
      <c r="M61" s="199"/>
      <c r="N61" s="199"/>
      <c r="O61" s="198" t="str">
        <f t="shared" si="0"/>
        <v/>
      </c>
      <c r="P61" s="204" t="str">
        <f t="shared" si="1"/>
        <v/>
      </c>
    </row>
    <row r="62" spans="1:16" ht="18" customHeight="1">
      <c r="A62" s="123" t="str">
        <f>IF(OR($C$6="",$J$6="",$M$6=""),"",IF($B62="","",SUBTOTAL(3,$B$11:B62)))</f>
        <v/>
      </c>
      <c r="B62" s="25" t="str">
        <f>IF(OR($C$6="",$J$6="",$M$6=""),"",IF(HKI!$B62="","",HKI!$B62))</f>
        <v/>
      </c>
      <c r="C62" s="26" t="str">
        <f>IF(OR($C$6="",$J$6="",$M$6=""),"",IF(HKI!$C62="","",HKI!$C62))</f>
        <v/>
      </c>
      <c r="D62" s="152" t="str">
        <f>IF(OR($C$6="",$J$6="",$M$6=""),"",IF(HKI!$D62="","",HKI!$D62))</f>
        <v/>
      </c>
      <c r="E62" s="44"/>
      <c r="F62" s="201"/>
      <c r="G62" s="199"/>
      <c r="H62" s="199"/>
      <c r="I62" s="200"/>
      <c r="J62" s="200"/>
      <c r="K62" s="200"/>
      <c r="L62" s="199"/>
      <c r="M62" s="199"/>
      <c r="N62" s="199"/>
      <c r="O62" s="198" t="str">
        <f t="shared" si="0"/>
        <v/>
      </c>
      <c r="P62" s="204" t="str">
        <f t="shared" si="1"/>
        <v/>
      </c>
    </row>
    <row r="63" spans="1:16" ht="18" customHeight="1">
      <c r="A63" s="123" t="str">
        <f>IF(OR($C$6="",$J$6="",$M$6=""),"",IF($B63="","",SUBTOTAL(3,$B$11:B63)))</f>
        <v/>
      </c>
      <c r="B63" s="25" t="str">
        <f>IF(OR($C$6="",$J$6="",$M$6=""),"",IF(HKI!$B63="","",HKI!$B63))</f>
        <v/>
      </c>
      <c r="C63" s="26" t="str">
        <f>IF(OR($C$6="",$J$6="",$M$6=""),"",IF(HKI!$C63="","",HKI!$C63))</f>
        <v/>
      </c>
      <c r="D63" s="152" t="str">
        <f>IF(OR($C$6="",$J$6="",$M$6=""),"",IF(HKI!$D63="","",HKI!$D63))</f>
        <v/>
      </c>
      <c r="E63" s="44"/>
      <c r="F63" s="201"/>
      <c r="G63" s="199"/>
      <c r="H63" s="199"/>
      <c r="I63" s="199"/>
      <c r="J63" s="199"/>
      <c r="K63" s="199"/>
      <c r="L63" s="199"/>
      <c r="M63" s="199"/>
      <c r="N63" s="199"/>
      <c r="O63" s="198" t="str">
        <f t="shared" si="0"/>
        <v/>
      </c>
      <c r="P63" s="204" t="str">
        <f t="shared" si="1"/>
        <v/>
      </c>
    </row>
    <row r="64" spans="1:16" ht="18" customHeight="1">
      <c r="A64" s="123" t="str">
        <f>IF(OR($C$6="",$J$6="",$M$6=""),"",IF($B64="","",SUBTOTAL(3,$B$11:B64)))</f>
        <v/>
      </c>
      <c r="B64" s="25" t="str">
        <f>IF(OR($C$6="",$J$6="",$M$6=""),"",IF(HKI!$B64="","",HKI!$B64))</f>
        <v/>
      </c>
      <c r="C64" s="26" t="str">
        <f>IF(OR($C$6="",$J$6="",$M$6=""),"",IF(HKI!$C64="","",HKI!$C64))</f>
        <v/>
      </c>
      <c r="D64" s="152" t="str">
        <f>IF(OR($C$6="",$J$6="",$M$6=""),"",IF(HKI!$D64="","",HKI!$D64))</f>
        <v/>
      </c>
      <c r="E64" s="44"/>
      <c r="F64" s="201"/>
      <c r="G64" s="199"/>
      <c r="H64" s="199"/>
      <c r="I64" s="199"/>
      <c r="J64" s="199"/>
      <c r="K64" s="202"/>
      <c r="L64" s="199"/>
      <c r="M64" s="199"/>
      <c r="N64" s="199"/>
      <c r="O64" s="198" t="str">
        <f t="shared" si="0"/>
        <v/>
      </c>
      <c r="P64" s="204" t="str">
        <f t="shared" si="1"/>
        <v/>
      </c>
    </row>
    <row r="65" spans="1:16" ht="18" customHeight="1">
      <c r="A65" s="123" t="str">
        <f>IF(OR($C$6="",$J$6="",$M$6=""),"",IF($B65="","",SUBTOTAL(3,$B$11:B65)))</f>
        <v/>
      </c>
      <c r="B65" s="25" t="str">
        <f>IF(OR($C$6="",$J$6="",$M$6=""),"",IF(HKI!$B65="","",HKI!$B65))</f>
        <v/>
      </c>
      <c r="C65" s="26" t="str">
        <f>IF(OR($C$6="",$J$6="",$M$6=""),"",IF(HKI!$C65="","",HKI!$C65))</f>
        <v/>
      </c>
      <c r="D65" s="152" t="str">
        <f>IF(OR($C$6="",$J$6="",$M$6=""),"",IF(HKI!$D65="","",HKI!$D65))</f>
        <v/>
      </c>
      <c r="E65" s="44"/>
      <c r="F65" s="201"/>
      <c r="G65" s="199"/>
      <c r="H65" s="199"/>
      <c r="I65" s="199"/>
      <c r="J65" s="199"/>
      <c r="K65" s="202"/>
      <c r="L65" s="199"/>
      <c r="M65" s="199"/>
      <c r="N65" s="199"/>
      <c r="O65" s="198" t="str">
        <f t="shared" si="0"/>
        <v/>
      </c>
      <c r="P65" s="204" t="str">
        <f t="shared" si="1"/>
        <v/>
      </c>
    </row>
    <row r="66" spans="1:16" ht="18" customHeight="1">
      <c r="A66" s="123" t="str">
        <f>IF(OR($C$6="",$J$6="",$M$6=""),"",IF($B66="","",SUBTOTAL(3,$B$11:B66)))</f>
        <v/>
      </c>
      <c r="B66" s="25" t="str">
        <f>IF(OR($C$6="",$J$6="",$M$6=""),"",IF(HKI!$B66="","",HKI!$B66))</f>
        <v/>
      </c>
      <c r="C66" s="26" t="str">
        <f>IF(OR($C$6="",$J$6="",$M$6=""),"",IF(HKI!$C66="","",HKI!$C66))</f>
        <v/>
      </c>
      <c r="D66" s="152" t="str">
        <f>IF(OR($C$6="",$J$6="",$M$6=""),"",IF(HKI!$D66="","",HKI!$D66))</f>
        <v/>
      </c>
      <c r="E66" s="44"/>
      <c r="F66" s="203"/>
      <c r="G66" s="203"/>
      <c r="H66" s="203"/>
      <c r="I66" s="199"/>
      <c r="J66" s="199"/>
      <c r="K66" s="202"/>
      <c r="L66" s="199"/>
      <c r="M66" s="199"/>
      <c r="N66" s="199"/>
      <c r="O66" s="198" t="str">
        <f t="shared" si="0"/>
        <v/>
      </c>
      <c r="P66" s="204" t="str">
        <f t="shared" si="1"/>
        <v/>
      </c>
    </row>
    <row r="67" spans="1:16" ht="18" customHeight="1">
      <c r="A67" s="123" t="str">
        <f>IF(OR($C$6="",$J$6="",$M$6=""),"",IF($B67="","",SUBTOTAL(3,$B$11:B67)))</f>
        <v/>
      </c>
      <c r="B67" s="25" t="str">
        <f>IF(OR($C$6="",$J$6="",$M$6=""),"",IF(HKI!$B67="","",HKI!$B67))</f>
        <v/>
      </c>
      <c r="C67" s="26" t="str">
        <f>IF(OR($C$6="",$J$6="",$M$6=""),"",IF(HKI!$C67="","",HKI!$C67))</f>
        <v/>
      </c>
      <c r="D67" s="152" t="str">
        <f>IF(OR($C$6="",$J$6="",$M$6=""),"",IF(HKI!$D67="","",HKI!$D67))</f>
        <v/>
      </c>
      <c r="E67" s="44"/>
      <c r="F67" s="203"/>
      <c r="G67" s="203"/>
      <c r="H67" s="203"/>
      <c r="I67" s="199"/>
      <c r="J67" s="199"/>
      <c r="K67" s="202"/>
      <c r="L67" s="199"/>
      <c r="M67" s="199"/>
      <c r="N67" s="199"/>
      <c r="O67" s="198" t="str">
        <f t="shared" si="0"/>
        <v/>
      </c>
      <c r="P67" s="204" t="str">
        <f t="shared" si="1"/>
        <v/>
      </c>
    </row>
    <row r="68" spans="1:16" ht="18" customHeight="1">
      <c r="A68" s="123" t="str">
        <f>IF(OR($C$6="",$J$6="",$M$6=""),"",IF($B68="","",SUBTOTAL(3,$B$11:B68)))</f>
        <v/>
      </c>
      <c r="B68" s="25" t="str">
        <f>IF(OR($C$6="",$J$6="",$M$6=""),"",IF(HKI!$B68="","",HKI!$B68))</f>
        <v/>
      </c>
      <c r="C68" s="26" t="str">
        <f>IF(OR($C$6="",$J$6="",$M$6=""),"",IF(HKI!$C68="","",HKI!$C68))</f>
        <v/>
      </c>
      <c r="D68" s="152" t="str">
        <f>IF(OR($C$6="",$J$6="",$M$6=""),"",IF(HKI!$D68="","",HKI!$D68))</f>
        <v/>
      </c>
      <c r="E68" s="44"/>
      <c r="F68" s="202"/>
      <c r="G68" s="199"/>
      <c r="H68" s="199"/>
      <c r="I68" s="199"/>
      <c r="J68" s="199"/>
      <c r="K68" s="202"/>
      <c r="L68" s="199"/>
      <c r="M68" s="199"/>
      <c r="N68" s="199"/>
      <c r="O68" s="198" t="str">
        <f t="shared" si="0"/>
        <v/>
      </c>
      <c r="P68" s="204" t="str">
        <f t="shared" si="1"/>
        <v/>
      </c>
    </row>
    <row r="69" spans="1:16" ht="18" customHeight="1">
      <c r="A69" s="123" t="str">
        <f>IF(OR($C$6="",$J$6="",$M$6=""),"",IF($B69="","",SUBTOTAL(3,$B$11:B69)))</f>
        <v/>
      </c>
      <c r="B69" s="25" t="str">
        <f>IF(OR($C$6="",$J$6="",$M$6=""),"",IF(HKI!$B69="","",HKI!$B69))</f>
        <v/>
      </c>
      <c r="C69" s="26" t="str">
        <f>IF(OR($C$6="",$J$6="",$M$6=""),"",IF(HKI!$C69="","",HKI!$C69))</f>
        <v/>
      </c>
      <c r="D69" s="152" t="str">
        <f>IF(OR($C$6="",$J$6="",$M$6=""),"",IF(HKI!$D69="","",HKI!$D69))</f>
        <v/>
      </c>
      <c r="E69" s="44"/>
      <c r="F69" s="202"/>
      <c r="G69" s="199"/>
      <c r="H69" s="199"/>
      <c r="I69" s="199"/>
      <c r="J69" s="199"/>
      <c r="K69" s="202"/>
      <c r="L69" s="199"/>
      <c r="M69" s="199"/>
      <c r="N69" s="199"/>
      <c r="O69" s="198" t="str">
        <f t="shared" si="0"/>
        <v/>
      </c>
      <c r="P69" s="204" t="str">
        <f t="shared" si="1"/>
        <v/>
      </c>
    </row>
    <row r="70" spans="1:16" ht="18" customHeight="1">
      <c r="A70" s="123" t="str">
        <f>IF(OR($C$6="",$J$6="",$M$6=""),"",IF($B70="","",SUBTOTAL(3,$B$11:B70)))</f>
        <v/>
      </c>
      <c r="B70" s="25" t="str">
        <f>IF(OR($C$6="",$J$6="",$M$6=""),"",IF(HKI!$B70="","",HKI!$B70))</f>
        <v/>
      </c>
      <c r="C70" s="26" t="str">
        <f>IF(OR($C$6="",$J$6="",$M$6=""),"",IF(HKI!$C70="","",HKI!$C70))</f>
        <v/>
      </c>
      <c r="D70" s="152" t="str">
        <f>IF(OR($C$6="",$J$6="",$M$6=""),"",IF(HKI!$D70="","",HKI!$D70))</f>
        <v/>
      </c>
      <c r="E70" s="44"/>
      <c r="F70" s="202"/>
      <c r="G70" s="199"/>
      <c r="H70" s="199"/>
      <c r="I70" s="199"/>
      <c r="J70" s="199"/>
      <c r="K70" s="202"/>
      <c r="L70" s="199"/>
      <c r="M70" s="199"/>
      <c r="N70" s="199"/>
      <c r="O70" s="198" t="str">
        <f t="shared" si="0"/>
        <v/>
      </c>
      <c r="P70" s="204" t="str">
        <f t="shared" si="1"/>
        <v/>
      </c>
    </row>
    <row r="71" spans="1:16" ht="18" customHeight="1">
      <c r="A71" s="123" t="str">
        <f>IF(OR($C$6="",$J$6="",$M$6=""),"",IF($B71="","",SUBTOTAL(3,$B$11:B71)))</f>
        <v/>
      </c>
      <c r="B71" s="25" t="str">
        <f>IF(OR($C$6="",$J$6="",$M$6=""),"",IF(HKI!$B71="","",HKI!$B71))</f>
        <v/>
      </c>
      <c r="C71" s="26" t="str">
        <f>IF(OR($C$6="",$J$6="",$M$6=""),"",IF(HKI!$C71="","",HKI!$C71))</f>
        <v/>
      </c>
      <c r="D71" s="152" t="str">
        <f>IF(OR($C$6="",$J$6="",$M$6=""),"",IF(HKI!$D71="","",HKI!$D71))</f>
        <v/>
      </c>
      <c r="E71" s="44"/>
      <c r="F71" s="202"/>
      <c r="G71" s="199"/>
      <c r="H71" s="199"/>
      <c r="I71" s="199"/>
      <c r="J71" s="199"/>
      <c r="K71" s="202"/>
      <c r="L71" s="199"/>
      <c r="M71" s="199"/>
      <c r="N71" s="199"/>
      <c r="O71" s="198" t="str">
        <f t="shared" si="0"/>
        <v/>
      </c>
      <c r="P71" s="204" t="str">
        <f t="shared" si="1"/>
        <v/>
      </c>
    </row>
    <row r="72" spans="1:16" ht="18" customHeight="1">
      <c r="A72" s="123" t="str">
        <f>IF(OR($C$6="",$J$6="",$M$6=""),"",IF($B72="","",SUBTOTAL(3,$B$11:B72)))</f>
        <v/>
      </c>
      <c r="B72" s="25" t="str">
        <f>IF(OR($C$6="",$J$6="",$M$6=""),"",IF(HKI!$B72="","",HKI!$B72))</f>
        <v/>
      </c>
      <c r="C72" s="26" t="str">
        <f>IF(OR($C$6="",$J$6="",$M$6=""),"",IF(HKI!$C72="","",HKI!$C72))</f>
        <v/>
      </c>
      <c r="D72" s="152" t="str">
        <f>IF(OR($C$6="",$J$6="",$M$6=""),"",IF(HKI!$D72="","",HKI!$D72))</f>
        <v/>
      </c>
      <c r="E72" s="44"/>
      <c r="F72" s="202"/>
      <c r="G72" s="199"/>
      <c r="H72" s="199"/>
      <c r="I72" s="199"/>
      <c r="J72" s="199"/>
      <c r="K72" s="202"/>
      <c r="L72" s="199"/>
      <c r="M72" s="199"/>
      <c r="N72" s="199"/>
      <c r="O72" s="198" t="str">
        <f t="shared" si="0"/>
        <v/>
      </c>
      <c r="P72" s="204" t="str">
        <f t="shared" si="1"/>
        <v/>
      </c>
    </row>
    <row r="73" spans="1:16" ht="18" customHeight="1">
      <c r="A73" s="123" t="str">
        <f>IF(OR($C$6="",$J$6="",$M$6=""),"",IF($B73="","",SUBTOTAL(3,$B$11:B73)))</f>
        <v/>
      </c>
      <c r="B73" s="25" t="str">
        <f>IF(OR($C$6="",$J$6="",$M$6=""),"",IF(HKI!$B73="","",HKI!$B73))</f>
        <v/>
      </c>
      <c r="C73" s="26" t="str">
        <f>IF(OR($C$6="",$J$6="",$M$6=""),"",IF(HKI!$C73="","",HKI!$C73))</f>
        <v/>
      </c>
      <c r="D73" s="152" t="str">
        <f>IF(OR($C$6="",$J$6="",$M$6=""),"",IF(HKI!$D73="","",HKI!$D73))</f>
        <v/>
      </c>
      <c r="E73" s="44"/>
      <c r="F73" s="202"/>
      <c r="G73" s="199"/>
      <c r="H73" s="199"/>
      <c r="I73" s="199"/>
      <c r="J73" s="199"/>
      <c r="K73" s="202"/>
      <c r="L73" s="199"/>
      <c r="M73" s="199"/>
      <c r="N73" s="199"/>
      <c r="O73" s="198" t="str">
        <f t="shared" si="0"/>
        <v/>
      </c>
      <c r="P73" s="204" t="str">
        <f t="shared" si="1"/>
        <v/>
      </c>
    </row>
    <row r="74" spans="1:16" ht="18" customHeight="1">
      <c r="A74" s="123" t="str">
        <f>IF(OR($C$6="",$J$6="",$M$6=""),"",IF($B74="","",SUBTOTAL(3,$B$11:B74)))</f>
        <v/>
      </c>
      <c r="B74" s="25" t="str">
        <f>IF(OR($C$6="",$J$6="",$M$6=""),"",IF(HKI!$B74="","",HKI!$B74))</f>
        <v/>
      </c>
      <c r="C74" s="26" t="str">
        <f>IF(OR($C$6="",$J$6="",$M$6=""),"",IF(HKI!$C74="","",HKI!$C74))</f>
        <v/>
      </c>
      <c r="D74" s="152" t="str">
        <f>IF(OR($C$6="",$J$6="",$M$6=""),"",IF(HKI!$D74="","",HKI!$D74))</f>
        <v/>
      </c>
      <c r="E74" s="44"/>
      <c r="F74" s="202"/>
      <c r="G74" s="199"/>
      <c r="H74" s="199"/>
      <c r="I74" s="199"/>
      <c r="J74" s="199"/>
      <c r="K74" s="202"/>
      <c r="L74" s="199"/>
      <c r="M74" s="199"/>
      <c r="N74" s="199"/>
      <c r="O74" s="198" t="str">
        <f t="shared" si="0"/>
        <v/>
      </c>
      <c r="P74" s="204" t="str">
        <f t="shared" si="1"/>
        <v/>
      </c>
    </row>
    <row r="75" spans="1:16" ht="18" customHeight="1">
      <c r="A75" s="123" t="str">
        <f>IF(OR($C$6="",$J$6="",$M$6=""),"",IF($B75="","",SUBTOTAL(3,$B$11:B75)))</f>
        <v/>
      </c>
      <c r="B75" s="25" t="str">
        <f>IF(OR($C$6="",$J$6="",$M$6=""),"",IF(HKI!$B75="","",HKI!$B75))</f>
        <v/>
      </c>
      <c r="C75" s="26" t="str">
        <f>IF(OR($C$6="",$J$6="",$M$6=""),"",IF(HKI!$C75="","",HKI!$C75))</f>
        <v/>
      </c>
      <c r="D75" s="152" t="str">
        <f>IF(OR($C$6="",$J$6="",$M$6=""),"",IF(HKI!$D75="","",HKI!$D75))</f>
        <v/>
      </c>
      <c r="E75" s="44"/>
      <c r="F75" s="202"/>
      <c r="G75" s="199"/>
      <c r="H75" s="199"/>
      <c r="I75" s="199"/>
      <c r="J75" s="199"/>
      <c r="K75" s="202"/>
      <c r="L75" s="199"/>
      <c r="M75" s="199"/>
      <c r="N75" s="199"/>
      <c r="O75" s="198" t="str">
        <f t="shared" si="0"/>
        <v/>
      </c>
      <c r="P75" s="204" t="str">
        <f t="shared" si="1"/>
        <v/>
      </c>
    </row>
    <row r="76" spans="1:16" ht="18" customHeight="1">
      <c r="A76" s="123" t="str">
        <f>IF(OR($C$6="",$J$6="",$M$6=""),"",IF($B76="","",SUBTOTAL(3,$B$11:B76)))</f>
        <v/>
      </c>
      <c r="B76" s="25" t="str">
        <f>IF(OR($C$6="",$J$6="",$M$6=""),"",IF(HKI!$B76="","",HKI!$B76))</f>
        <v/>
      </c>
      <c r="C76" s="26" t="str">
        <f>IF(OR($C$6="",$J$6="",$M$6=""),"",IF(HKI!$C76="","",HKI!$C76))</f>
        <v/>
      </c>
      <c r="D76" s="152" t="str">
        <f>IF(OR($C$6="",$J$6="",$M$6=""),"",IF(HKI!$D76="","",HKI!$D76))</f>
        <v/>
      </c>
      <c r="E76" s="44"/>
      <c r="F76" s="202"/>
      <c r="G76" s="199"/>
      <c r="H76" s="199"/>
      <c r="I76" s="199"/>
      <c r="J76" s="199"/>
      <c r="K76" s="202"/>
      <c r="L76" s="199"/>
      <c r="M76" s="199"/>
      <c r="N76" s="199"/>
      <c r="O76" s="198" t="str">
        <f>IF($B76="","",IF(OR($C$6="",$J$6="",$M$6=""),"",IF(ISNUMBER($E76)=TRUE,$E76,IF(COUNT($F76:$N76)=0,"",ROUND(SUM($F76:$N76)/COUNT($F76:$N76),1)))))</f>
        <v/>
      </c>
      <c r="P76" s="204" t="str">
        <f>IF($B76="","",IF(OR($C$6="",$J$6="",$M$6=""),"",IF($O76="","KXL",IF($O76&lt;4,"Kém",IF($O76&lt;5.5,"TB Yếu",IF($O76&lt;7,"T.Bình",IF($O76&lt;8.5,"Khá","Giỏi")))))))</f>
        <v/>
      </c>
    </row>
    <row r="77" spans="1:16" ht="18" customHeight="1">
      <c r="A77" s="123" t="str">
        <f>IF(OR($C$6="",$J$6="",$M$6=""),"",IF($B77="","",SUBTOTAL(3,$B$11:B77)))</f>
        <v/>
      </c>
      <c r="B77" s="25" t="str">
        <f>IF(OR($C$6="",$J$6="",$M$6=""),"",IF(HKI!$B77="","",HKI!$B77))</f>
        <v/>
      </c>
      <c r="C77" s="26" t="str">
        <f>IF(OR($C$6="",$J$6="",$M$6=""),"",IF(HKI!$C77="","",HKI!$C77))</f>
        <v/>
      </c>
      <c r="D77" s="152" t="str">
        <f>IF(OR($C$6="",$J$6="",$M$6=""),"",IF(HKI!$D77="","",HKI!$D77))</f>
        <v/>
      </c>
      <c r="E77" s="44"/>
      <c r="F77" s="202"/>
      <c r="G77" s="199"/>
      <c r="H77" s="199"/>
      <c r="I77" s="199"/>
      <c r="J77" s="199"/>
      <c r="K77" s="202"/>
      <c r="L77" s="199"/>
      <c r="M77" s="199"/>
      <c r="N77" s="199"/>
      <c r="O77" s="198" t="str">
        <f>IF($B77="","",IF(OR($C$6="",$J$6="",$M$6=""),"",IF(ISNUMBER($E77)=TRUE,$E77,IF(COUNT($F77:$N77)=0,"",ROUND(SUM($F77:$N77)/COUNT($F77:$N77),1)))))</f>
        <v/>
      </c>
      <c r="P77" s="204" t="str">
        <f>IF($B77="","",IF(OR($C$6="",$J$6="",$M$6=""),"",IF($O77="","KXL",IF($O77&lt;4,"Kém",IF($O77&lt;5.5,"TB Yếu",IF($O77&lt;7,"T.Bình",IF($O77&lt;8.5,"Khá","Giỏi")))))))</f>
        <v/>
      </c>
    </row>
    <row r="78" spans="1:16" ht="18" customHeight="1">
      <c r="A78" s="123" t="str">
        <f>IF(OR($C$6="",$J$6="",$M$6=""),"",IF($B78="","",SUBTOTAL(3,$B$11:B78)))</f>
        <v/>
      </c>
      <c r="B78" s="25" t="str">
        <f>IF(OR($C$6="",$J$6="",$M$6=""),"",IF(HKI!$B78="","",HKI!$B78))</f>
        <v/>
      </c>
      <c r="C78" s="26" t="str">
        <f>IF(OR($C$6="",$J$6="",$M$6=""),"",IF(HKI!$C78="","",HKI!$C78))</f>
        <v/>
      </c>
      <c r="D78" s="152" t="str">
        <f>IF(OR($C$6="",$J$6="",$M$6=""),"",IF(HKI!$D78="","",HKI!$D78))</f>
        <v/>
      </c>
      <c r="E78" s="44"/>
      <c r="F78" s="202"/>
      <c r="G78" s="199"/>
      <c r="H78" s="199"/>
      <c r="I78" s="199"/>
      <c r="J78" s="199"/>
      <c r="K78" s="202"/>
      <c r="L78" s="199"/>
      <c r="M78" s="199"/>
      <c r="N78" s="199"/>
      <c r="O78" s="198" t="str">
        <f>IF($B78="","",IF(OR($C$6="",$J$6="",$M$6=""),"",IF(ISNUMBER($E78)=TRUE,$E78,IF(COUNT($F78:$N78)=0,"",ROUND(SUM($F78:$N78)/COUNT($F78:$N78),1)))))</f>
        <v/>
      </c>
      <c r="P78" s="204" t="str">
        <f>IF($B78="","",IF(OR($C$6="",$J$6="",$M$6=""),"",IF($O78="","KXL",IF($O78&lt;4,"Kém",IF($O78&lt;5.5,"TB Yếu",IF($O78&lt;7,"T.Bình",IF($O78&lt;8.5,"Khá","Giỏi")))))))</f>
        <v/>
      </c>
    </row>
    <row r="79" spans="1:16" ht="18" customHeight="1">
      <c r="A79" s="123" t="str">
        <f>IF(OR($C$6="",$J$6="",$M$6=""),"",IF($B79="","",SUBTOTAL(3,$B$11:B79)))</f>
        <v/>
      </c>
      <c r="B79" s="25" t="str">
        <f>IF(OR($C$6="",$J$6="",$M$6=""),"",IF(HKI!$B79="","",HKI!$B79))</f>
        <v/>
      </c>
      <c r="C79" s="26" t="str">
        <f>IF(OR($C$6="",$J$6="",$M$6=""),"",IF(HKI!$C79="","",HKI!$C79))</f>
        <v/>
      </c>
      <c r="D79" s="152" t="str">
        <f>IF(OR($C$6="",$J$6="",$M$6=""),"",IF(HKI!$D79="","",HKI!$D79))</f>
        <v/>
      </c>
      <c r="E79" s="44"/>
      <c r="F79" s="202"/>
      <c r="G79" s="199"/>
      <c r="H79" s="199"/>
      <c r="I79" s="199"/>
      <c r="J79" s="199"/>
      <c r="K79" s="202"/>
      <c r="L79" s="199"/>
      <c r="M79" s="199"/>
      <c r="N79" s="199"/>
      <c r="O79" s="198" t="str">
        <f>IF($B79="","",IF(OR($C$6="",$J$6="",$M$6=""),"",IF(ISNUMBER($E79)=TRUE,$E79,IF(COUNT($F79:$N79)=0,"",ROUND(SUM($F79:$N79)/COUNT($F79:$N79),1)))))</f>
        <v/>
      </c>
      <c r="P79" s="204" t="str">
        <f>IF($B79="","",IF(OR($C$6="",$J$6="",$M$6=""),"",IF($O79="","KXL",IF($O79&lt;4,"Kém",IF($O79&lt;5.5,"TB Yếu",IF($O79&lt;7,"T.Bình",IF($O79&lt;8.5,"Khá","Giỏi")))))))</f>
        <v/>
      </c>
    </row>
    <row r="80" spans="1:16" ht="18" customHeight="1">
      <c r="A80" s="123" t="str">
        <f>IF(OR($C$6="",$J$6="",$M$6=""),"",IF($B80="","",SUBTOTAL(3,$B$11:B80)))</f>
        <v/>
      </c>
      <c r="B80" s="25" t="str">
        <f>IF(OR($C$6="",$J$6="",$M$6=""),"",IF(HKI!$B80="","",HKI!$B80))</f>
        <v/>
      </c>
      <c r="C80" s="26" t="str">
        <f>IF(OR($C$6="",$J$6="",$M$6=""),"",IF(HKI!$C80="","",HKI!$C80))</f>
        <v/>
      </c>
      <c r="D80" s="152" t="str">
        <f>IF(OR($C$6="",$J$6="",$M$6=""),"",IF(HKI!$D80="","",HKI!$D80))</f>
        <v/>
      </c>
      <c r="E80" s="44"/>
      <c r="F80" s="202"/>
      <c r="G80" s="199"/>
      <c r="H80" s="199"/>
      <c r="I80" s="199"/>
      <c r="J80" s="199"/>
      <c r="K80" s="202"/>
      <c r="L80" s="199"/>
      <c r="M80" s="199"/>
      <c r="N80" s="199"/>
      <c r="O80" s="198" t="str">
        <f>IF($B80="","",IF(OR($C$6="",$J$6="",$M$6=""),"",IF(ISNUMBER($E80)=TRUE,$E80,IF(COUNT($F80:$N80)=0,"",ROUND(SUM($F80:$N80)/COUNT($F80:$N80),1)))))</f>
        <v/>
      </c>
      <c r="P80" s="204" t="str">
        <f>IF($B80="","",IF(OR($C$6="",$J$6="",$M$6=""),"",IF($O80="","KXL",IF($O80&lt;4,"Kém",IF($O80&lt;5.5,"TB Yếu",IF($O80&lt;7,"T.Bình",IF($O80&lt;8.5,"Khá","Giỏi")))))))</f>
        <v/>
      </c>
    </row>
    <row r="81" spans="1:16" s="146" customFormat="1" ht="17.25" customHeight="1">
      <c r="A81" s="653" t="s">
        <v>1459</v>
      </c>
      <c r="B81" s="653"/>
      <c r="C81" s="653"/>
      <c r="D81" s="653"/>
      <c r="E81" s="653"/>
      <c r="F81" s="653"/>
      <c r="G81" s="653"/>
      <c r="H81" s="653"/>
      <c r="I81" s="653"/>
      <c r="J81" s="653"/>
      <c r="K81" s="653"/>
      <c r="L81" s="653"/>
      <c r="M81" s="653"/>
      <c r="N81" s="163"/>
      <c r="O81" s="56"/>
      <c r="P81" s="56"/>
    </row>
    <row r="82" spans="1:16" s="146" customFormat="1">
      <c r="A82" s="136"/>
      <c r="B82" s="651" t="str">
        <f>"Tổng danh sách có"</f>
        <v>Tổng danh sách có</v>
      </c>
      <c r="C82" s="651"/>
      <c r="D82" s="651"/>
      <c r="E82" s="651"/>
      <c r="F82" s="686" t="str">
        <f>": "&amp;MAX($A$11:$A$75)&amp;" SV"</f>
        <v>: 50 SV</v>
      </c>
      <c r="G82" s="686"/>
      <c r="L82" s="147"/>
      <c r="M82" s="147"/>
      <c r="N82" s="147"/>
      <c r="O82" s="147"/>
      <c r="P82" s="147"/>
    </row>
    <row r="83" spans="1:16" s="146" customFormat="1" ht="12.75" customHeight="1">
      <c r="A83" s="148"/>
      <c r="B83" s="643" t="str">
        <f>"Tổng số SV có điểm Giỏi từ 8,5 đ đến 10 đ"</f>
        <v>Tổng số SV có điểm Giỏi từ 8,5 đ đến 10 đ</v>
      </c>
      <c r="C83" s="643"/>
      <c r="D83" s="643"/>
      <c r="E83" s="643"/>
      <c r="F83" s="643" t="str">
        <f>": "&amp;COUNTIF($P$11:$P$80,"Giỏi")&amp;" SV"</f>
        <v>: 0 SV</v>
      </c>
      <c r="G83" s="643"/>
      <c r="H83" s="674" t="str">
        <f>IF($B11="","","("&amp;ROUND(COUNTIF($P$11:$P$80,"Giỏi")*100/MAX($A$11:$A$80),2)&amp;"%" &amp;")")</f>
        <v>(0%)</v>
      </c>
      <c r="I83" s="674"/>
      <c r="J83" s="645" t="str">
        <f>"Tổng số SV có điểm &gt;= 4 đ : "&amp;COUNTIF($O$11:$O$80,"&gt;=4")&amp;" SV"&amp;" ("&amp;ROUND(COUNTIF($O$11:$O$80,"&gt;=4")*100/IF($B11="",1,MAX($A$11:$A$80)),2)&amp;"%" &amp;")"</f>
        <v>Tổng số SV có điểm &gt;= 4 đ : 45 SV (90%)</v>
      </c>
      <c r="K83" s="645"/>
      <c r="L83" s="645"/>
      <c r="M83" s="645"/>
      <c r="N83" s="645"/>
      <c r="O83" s="645"/>
      <c r="P83" s="127"/>
    </row>
    <row r="84" spans="1:16" s="146" customFormat="1">
      <c r="A84" s="148"/>
      <c r="B84" s="643" t="str">
        <f>"Tổng số SV có điểm Khá từ 7 đ đến &lt;8,5 đ"</f>
        <v>Tổng số SV có điểm Khá từ 7 đ đến &lt;8,5 đ</v>
      </c>
      <c r="C84" s="643"/>
      <c r="D84" s="643"/>
      <c r="E84" s="643"/>
      <c r="F84" s="643" t="str">
        <f>": "&amp;COUNTIF($P$11:$P$80,"Khá")&amp;" SV"</f>
        <v>: 14 SV</v>
      </c>
      <c r="G84" s="643"/>
      <c r="H84" s="674" t="str">
        <f>IF($B11="","","("&amp;ROUND(COUNTIF($P$11:$P$80,"Khá")*100/MAX($A$11:$A$80),2)&amp;"%" &amp;")")</f>
        <v>(28%)</v>
      </c>
      <c r="I84" s="674"/>
      <c r="J84" s="645"/>
      <c r="K84" s="645"/>
      <c r="L84" s="645"/>
      <c r="M84" s="645"/>
      <c r="N84" s="645"/>
      <c r="O84" s="645"/>
      <c r="P84" s="127"/>
    </row>
    <row r="85" spans="1:16" s="146" customFormat="1">
      <c r="A85" s="148"/>
      <c r="B85" s="643" t="str">
        <f>"Tổng số SV có điểm Trung bình từ 5,5 đ đến &lt;7 đ"</f>
        <v>Tổng số SV có điểm Trung bình từ 5,5 đ đến &lt;7 đ</v>
      </c>
      <c r="C85" s="643"/>
      <c r="D85" s="643"/>
      <c r="E85" s="643"/>
      <c r="F85" s="643" t="str">
        <f>": "&amp;COUNTIF($P$11:$P$80,"T.Bình")&amp;" SV"</f>
        <v>: 14 SV</v>
      </c>
      <c r="G85" s="643"/>
      <c r="H85" s="674" t="str">
        <f>IF($B11="","","("&amp;ROUND(COUNTIF($P$11:$P$80,"T.Bình")*100/MAX($A$11:$A$80),2)&amp;"%" &amp;")")</f>
        <v>(28%)</v>
      </c>
      <c r="I85" s="674"/>
      <c r="J85" s="645"/>
      <c r="K85" s="645"/>
      <c r="L85" s="645"/>
      <c r="M85" s="645"/>
      <c r="N85" s="645"/>
      <c r="O85" s="645"/>
      <c r="P85" s="127"/>
    </row>
    <row r="86" spans="1:16" s="146" customFormat="1" ht="12.75" customHeight="1">
      <c r="A86" s="148"/>
      <c r="B86" s="643" t="str">
        <f>"Tổng số SV có điểm Trung bình yếu từ 4 đ đến &lt;5,5 đ"</f>
        <v>Tổng số SV có điểm Trung bình yếu từ 4 đ đến &lt;5,5 đ</v>
      </c>
      <c r="C86" s="643"/>
      <c r="D86" s="643"/>
      <c r="E86" s="643"/>
      <c r="F86" s="643" t="str">
        <f>": "&amp;COUNTIF($P$11:$P$80,"TB Yếu")&amp;" SV"</f>
        <v>: 17 SV</v>
      </c>
      <c r="G86" s="643"/>
      <c r="H86" s="674" t="str">
        <f>IF($B11="","","("&amp;ROUND(COUNTIF($P$11:$P$80,"TB Yếu")*100/MAX($A$11:$A$80),2)&amp;"%" &amp;")")</f>
        <v>(34%)</v>
      </c>
      <c r="I86" s="674"/>
      <c r="J86" s="644" t="str">
        <f>"Tổng số SV có điểm &lt; 4 đ : "&amp;COUNTIF($O$11:$O$80,"&lt;4")&amp;" SV"&amp;" ("&amp;ROUND(COUNTIF($O$11:$O$80,"&lt;4")*100/IF($B11="",1,MAX($A$11:$A$80)),2)&amp;"%" &amp;")"</f>
        <v>Tổng số SV có điểm &lt; 4 đ : 5 SV (10%)</v>
      </c>
      <c r="K86" s="644"/>
      <c r="L86" s="644"/>
      <c r="M86" s="644"/>
      <c r="N86" s="644"/>
      <c r="O86" s="644"/>
      <c r="P86" s="161"/>
    </row>
    <row r="87" spans="1:16" s="146" customFormat="1">
      <c r="A87" s="148"/>
      <c r="B87" s="643" t="str">
        <f>"Tổng số SV có điểm kém &lt;4 đ"</f>
        <v>Tổng số SV có điểm kém &lt;4 đ</v>
      </c>
      <c r="C87" s="643"/>
      <c r="D87" s="643"/>
      <c r="E87" s="643"/>
      <c r="F87" s="643" t="str">
        <f>": "&amp;COUNTIF($P$11:$P$80,"Kém")&amp;" SV"</f>
        <v>: 5 SV</v>
      </c>
      <c r="G87" s="643"/>
      <c r="H87" s="674" t="str">
        <f>IF($B11="","","("&amp;ROUND(COUNTIF($P$11:$P$80,"Kém")*100/MAX($A$11:$A$80),2)&amp;"%"&amp;")")</f>
        <v>(10%)</v>
      </c>
      <c r="I87" s="674"/>
      <c r="J87" s="644"/>
      <c r="K87" s="644"/>
      <c r="L87" s="644"/>
      <c r="M87" s="644"/>
      <c r="N87" s="644"/>
      <c r="O87" s="644"/>
      <c r="P87" s="161"/>
    </row>
    <row r="88" spans="1:16" s="146" customFormat="1">
      <c r="A88" s="148"/>
      <c r="B88" s="643" t="str">
        <f>"Tổng số SV không xếp loại vì chưa đủ điều kiện"</f>
        <v>Tổng số SV không xếp loại vì chưa đủ điều kiện</v>
      </c>
      <c r="C88" s="643"/>
      <c r="D88" s="643"/>
      <c r="E88" s="643"/>
      <c r="F88" s="643" t="str">
        <f>": "&amp;COUNTIF($P$11:$P$80,"KXL")&amp;" SV"</f>
        <v>: 0 SV</v>
      </c>
      <c r="G88" s="643"/>
      <c r="H88" s="674" t="str">
        <f>IF($B11="","","("&amp;ROUND(COUNTIF($P$11:$P$80,"KXL")*100/MAX($A$11:$A$80),2)&amp;"%"&amp;")")</f>
        <v>(0%)</v>
      </c>
      <c r="I88" s="674"/>
      <c r="J88" s="644"/>
      <c r="K88" s="644"/>
      <c r="L88" s="644"/>
      <c r="M88" s="644"/>
      <c r="N88" s="644"/>
      <c r="O88" s="644"/>
      <c r="P88" s="161"/>
    </row>
    <row r="89" spans="1:16" ht="15.75">
      <c r="B89" s="149"/>
      <c r="C89" s="149"/>
      <c r="D89" s="149"/>
      <c r="E89" s="149"/>
      <c r="F89" s="149"/>
      <c r="G89" s="149"/>
      <c r="H89" s="149"/>
      <c r="I89" s="149"/>
      <c r="J89" s="149"/>
      <c r="K89" s="149"/>
      <c r="L89" s="149"/>
      <c r="M89" s="149"/>
      <c r="N89" s="149"/>
    </row>
    <row r="90" spans="1:16" ht="15.75" customHeight="1">
      <c r="A90" s="636" t="s">
        <v>190</v>
      </c>
      <c r="B90" s="636"/>
      <c r="C90" s="636"/>
      <c r="D90" s="636" t="s">
        <v>256</v>
      </c>
      <c r="E90" s="636"/>
      <c r="F90" s="636"/>
      <c r="G90" s="636"/>
      <c r="H90" s="636"/>
      <c r="I90" s="138"/>
      <c r="J90" s="636" t="s">
        <v>257</v>
      </c>
      <c r="K90" s="636"/>
      <c r="L90" s="636"/>
      <c r="M90" s="636"/>
      <c r="N90" s="636"/>
      <c r="O90" s="162"/>
      <c r="P90" s="138"/>
    </row>
    <row r="96" spans="1:16" ht="15.75" customHeight="1">
      <c r="A96" s="636"/>
      <c r="B96" s="636"/>
      <c r="C96" s="636"/>
      <c r="D96" s="636"/>
      <c r="E96" s="636"/>
      <c r="F96" s="636"/>
      <c r="G96" s="636"/>
      <c r="H96" s="636"/>
      <c r="I96" s="138"/>
      <c r="J96" s="636"/>
      <c r="K96" s="636"/>
      <c r="L96" s="636"/>
      <c r="M96" s="636"/>
      <c r="N96" s="636"/>
      <c r="O96" s="162"/>
      <c r="P96" s="138"/>
    </row>
  </sheetData>
  <sheetProtection sheet="1" formatCells="0" formatColumns="0" autoFilter="0"/>
  <mergeCells count="59">
    <mergeCell ref="A1:F1"/>
    <mergeCell ref="G6:I6"/>
    <mergeCell ref="K6:L6"/>
    <mergeCell ref="G1:O1"/>
    <mergeCell ref="A3:F3"/>
    <mergeCell ref="A6:B6"/>
    <mergeCell ref="E8:E10"/>
    <mergeCell ref="A2:F2"/>
    <mergeCell ref="G2:O2"/>
    <mergeCell ref="G7:I7"/>
    <mergeCell ref="J7:L7"/>
    <mergeCell ref="J9:J10"/>
    <mergeCell ref="K9:K10"/>
    <mergeCell ref="L9:L10"/>
    <mergeCell ref="H9:H10"/>
    <mergeCell ref="G9:G10"/>
    <mergeCell ref="C6:F6"/>
    <mergeCell ref="A4:O4"/>
    <mergeCell ref="A5:O5"/>
    <mergeCell ref="M6:O6"/>
    <mergeCell ref="F82:G82"/>
    <mergeCell ref="B82:E82"/>
    <mergeCell ref="J86:O88"/>
    <mergeCell ref="H86:I86"/>
    <mergeCell ref="F8:N8"/>
    <mergeCell ref="M9:M10"/>
    <mergeCell ref="F9:F10"/>
    <mergeCell ref="A81:M81"/>
    <mergeCell ref="P8:P10"/>
    <mergeCell ref="A8:A10"/>
    <mergeCell ref="C8:D10"/>
    <mergeCell ref="O8:O10"/>
    <mergeCell ref="B8:B10"/>
    <mergeCell ref="I9:I10"/>
    <mergeCell ref="N9:N10"/>
    <mergeCell ref="A96:C96"/>
    <mergeCell ref="D96:H96"/>
    <mergeCell ref="J96:N96"/>
    <mergeCell ref="H87:I87"/>
    <mergeCell ref="H88:I88"/>
    <mergeCell ref="D90:H90"/>
    <mergeCell ref="J90:N90"/>
    <mergeCell ref="A90:C90"/>
    <mergeCell ref="B86:E86"/>
    <mergeCell ref="B88:E88"/>
    <mergeCell ref="F88:G88"/>
    <mergeCell ref="B87:E87"/>
    <mergeCell ref="F87:G87"/>
    <mergeCell ref="F86:G86"/>
    <mergeCell ref="J83:O85"/>
    <mergeCell ref="H83:I83"/>
    <mergeCell ref="H84:I84"/>
    <mergeCell ref="H85:I85"/>
    <mergeCell ref="B83:E83"/>
    <mergeCell ref="F83:G83"/>
    <mergeCell ref="B84:E84"/>
    <mergeCell ref="B85:E85"/>
    <mergeCell ref="F85:G85"/>
    <mergeCell ref="F84:G84"/>
  </mergeCells>
  <phoneticPr fontId="11" type="noConversion"/>
  <conditionalFormatting sqref="O11:O80">
    <cfRule type="cellIs" dxfId="3" priority="1" stopIfTrue="1" operator="lessThan">
      <formula>5</formula>
    </cfRule>
  </conditionalFormatting>
  <dataValidations count="3">
    <dataValidation type="decimal" allowBlank="1" showInputMessage="1" showErrorMessage="1" sqref="F64:N81 K63 E11:N55 E56:E81">
      <formula1>0</formula1>
      <formula2>10</formula2>
    </dataValidation>
    <dataValidation type="whole" allowBlank="1" showInputMessage="1" showErrorMessage="1" errorTitle="Nhap sai" error="Hãy nhập lại_x000a_0 ≤ Điểm ≤ 10" sqref="L56:M63 F63:J63 F56:I62">
      <formula1>0</formula1>
      <formula2>10</formula2>
    </dataValidation>
    <dataValidation type="decimal" allowBlank="1" showInputMessage="1" showErrorMessage="1" errorTitle="Nhap sai" error="Hãy nhập lại_x000a_0 ≤ Điểm ≤ 10" sqref="N56:N63 J56:K62">
      <formula1>0</formula1>
      <formula2>10</formula2>
    </dataValidation>
  </dataValidations>
  <printOptions horizontalCentered="1"/>
  <pageMargins left="0.5" right="0" top="0.25" bottom="0.25" header="0.25" footer="0.25"/>
  <pageSetup paperSize="9" scale="95" orientation="portrait" horizontalDpi="1200" verticalDpi="1200"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P96"/>
  <sheetViews>
    <sheetView topLeftCell="A46" workbookViewId="0">
      <selection activeCell="A55" sqref="A55:IV55"/>
    </sheetView>
  </sheetViews>
  <sheetFormatPr defaultRowHeight="15.75"/>
  <cols>
    <col min="1" max="1" width="4.28515625" style="136" customWidth="1"/>
    <col min="2" max="2" width="12.42578125" style="136" customWidth="1"/>
    <col min="3" max="3" width="19.140625" style="136" bestFit="1" customWidth="1"/>
    <col min="4" max="4" width="8.140625" style="136" bestFit="1" customWidth="1"/>
    <col min="5" max="5" width="6.28515625" style="136" customWidth="1"/>
    <col min="6" max="14" width="5.28515625" style="136" customWidth="1"/>
    <col min="15" max="15" width="6.140625" style="136" bestFit="1" customWidth="1"/>
    <col min="16" max="16" width="8.85546875" style="209" hidden="1" customWidth="1"/>
    <col min="17" max="16384" width="9.140625" style="136"/>
  </cols>
  <sheetData>
    <row r="1" spans="1:16">
      <c r="A1" s="633" t="s">
        <v>2695</v>
      </c>
      <c r="B1" s="633"/>
      <c r="C1" s="633"/>
      <c r="D1" s="633"/>
      <c r="E1" s="633"/>
      <c r="F1" s="633"/>
      <c r="G1" s="632" t="s">
        <v>249</v>
      </c>
      <c r="H1" s="632"/>
      <c r="I1" s="632"/>
      <c r="J1" s="632"/>
      <c r="K1" s="632"/>
      <c r="L1" s="632"/>
      <c r="M1" s="632"/>
      <c r="N1" s="632"/>
      <c r="O1" s="632"/>
      <c r="P1" s="136"/>
    </row>
    <row r="2" spans="1:16" ht="33" customHeight="1">
      <c r="A2" s="631" t="s">
        <v>2687</v>
      </c>
      <c r="B2" s="632"/>
      <c r="C2" s="632"/>
      <c r="D2" s="632"/>
      <c r="E2" s="632"/>
      <c r="F2" s="632"/>
      <c r="G2" s="638" t="s">
        <v>250</v>
      </c>
      <c r="H2" s="638"/>
      <c r="I2" s="638"/>
      <c r="J2" s="638"/>
      <c r="K2" s="638"/>
      <c r="L2" s="638"/>
      <c r="M2" s="638"/>
      <c r="N2" s="638"/>
      <c r="O2" s="638"/>
      <c r="P2" s="136"/>
    </row>
    <row r="3" spans="1:16" ht="19.5" customHeight="1">
      <c r="A3" s="633"/>
      <c r="B3" s="633"/>
      <c r="C3" s="633"/>
      <c r="D3" s="633"/>
      <c r="E3" s="633"/>
      <c r="F3" s="633"/>
      <c r="I3" s="178"/>
      <c r="J3" s="147"/>
      <c r="K3" s="147"/>
      <c r="L3" s="147"/>
      <c r="M3" s="147"/>
      <c r="N3" s="147"/>
      <c r="O3" s="147"/>
      <c r="P3" s="147"/>
    </row>
    <row r="4" spans="1:16" ht="20.25" customHeight="1">
      <c r="A4" s="635" t="s">
        <v>158</v>
      </c>
      <c r="B4" s="635"/>
      <c r="C4" s="635"/>
      <c r="D4" s="635"/>
      <c r="E4" s="635"/>
      <c r="F4" s="635"/>
      <c r="G4" s="635"/>
      <c r="H4" s="635"/>
      <c r="I4" s="635"/>
      <c r="J4" s="635"/>
      <c r="K4" s="635"/>
      <c r="L4" s="635"/>
      <c r="M4" s="635"/>
      <c r="N4" s="635"/>
      <c r="O4" s="635"/>
    </row>
    <row r="5" spans="1:16" ht="9" customHeight="1">
      <c r="A5" s="635"/>
      <c r="B5" s="635"/>
      <c r="C5" s="635"/>
      <c r="D5" s="635"/>
      <c r="E5" s="635"/>
      <c r="F5" s="635"/>
      <c r="G5" s="635"/>
      <c r="H5" s="635"/>
      <c r="I5" s="635"/>
      <c r="J5" s="635"/>
      <c r="K5" s="635"/>
      <c r="L5" s="635"/>
      <c r="M5" s="635"/>
      <c r="N5" s="635"/>
      <c r="O5" s="635"/>
    </row>
    <row r="6" spans="1:16" s="139" customFormat="1" ht="17.25" customHeight="1">
      <c r="B6" s="19" t="s">
        <v>252</v>
      </c>
      <c r="C6" s="694" t="str">
        <f>IF($M$6="","",IF(VLOOKUP($M$6,'LOP-MON'!$B$2:$N$43,12,FALSE)=0,"",VLOOKUP($M$6,'LOP-MON'!$B$2:$N$43,12,FALSE)))</f>
        <v>Thực tập Vi xử lý và PLC</v>
      </c>
      <c r="D6" s="694"/>
      <c r="E6" s="694"/>
      <c r="F6" s="694"/>
      <c r="G6" s="636" t="s">
        <v>271</v>
      </c>
      <c r="H6" s="636"/>
      <c r="I6" s="636"/>
      <c r="J6" s="20">
        <f>IF($M$6="","",IF(VLOOKUP(CONCATENATE("TC",MID($M$6,1,4),MID($M$6,6,3)),'LOP-MON'!$B$2:$N$43,12,FALSE)=0,"",VLOOKUP(CONCATENATE("TC",MID($M$6,1,4),MID($M$6,6,3)),'LOP-MON'!$B$2:$N$43,12,FALSE)))</f>
        <v>2</v>
      </c>
      <c r="K6" s="652" t="s">
        <v>187</v>
      </c>
      <c r="L6" s="652"/>
      <c r="M6" s="694" t="str">
        <f>HKI!$D$3</f>
        <v>13CĐ-Đ1</v>
      </c>
      <c r="N6" s="694"/>
      <c r="O6" s="694"/>
      <c r="P6" s="209"/>
    </row>
    <row r="7" spans="1:16" s="140" customFormat="1" ht="17.25" customHeight="1">
      <c r="C7" s="100" t="s">
        <v>253</v>
      </c>
      <c r="D7" s="100" t="s">
        <v>2693</v>
      </c>
      <c r="E7" s="141"/>
      <c r="G7" s="634" t="s">
        <v>254</v>
      </c>
      <c r="H7" s="634"/>
      <c r="I7" s="634"/>
      <c r="J7" s="634" t="s">
        <v>2694</v>
      </c>
      <c r="K7" s="634"/>
      <c r="L7" s="634"/>
      <c r="O7" s="19"/>
      <c r="P7" s="210"/>
    </row>
    <row r="8" spans="1:16" s="197" customFormat="1" ht="20.25" customHeight="1">
      <c r="A8" s="677" t="s">
        <v>255</v>
      </c>
      <c r="B8" s="677" t="s">
        <v>188</v>
      </c>
      <c r="C8" s="680" t="s">
        <v>189</v>
      </c>
      <c r="D8" s="681"/>
      <c r="E8" s="690" t="s">
        <v>259</v>
      </c>
      <c r="F8" s="687" t="s">
        <v>159</v>
      </c>
      <c r="G8" s="688"/>
      <c r="H8" s="688"/>
      <c r="I8" s="688"/>
      <c r="J8" s="688"/>
      <c r="K8" s="688"/>
      <c r="L8" s="688"/>
      <c r="M8" s="688"/>
      <c r="N8" s="689"/>
      <c r="O8" s="677" t="s">
        <v>260</v>
      </c>
      <c r="P8" s="695" t="s">
        <v>258</v>
      </c>
    </row>
    <row r="9" spans="1:16" s="197" customFormat="1">
      <c r="A9" s="678"/>
      <c r="B9" s="678"/>
      <c r="C9" s="682"/>
      <c r="D9" s="683"/>
      <c r="E9" s="691"/>
      <c r="F9" s="675" t="s">
        <v>160</v>
      </c>
      <c r="G9" s="675" t="s">
        <v>161</v>
      </c>
      <c r="H9" s="675" t="s">
        <v>162</v>
      </c>
      <c r="I9" s="675" t="s">
        <v>163</v>
      </c>
      <c r="J9" s="675" t="s">
        <v>164</v>
      </c>
      <c r="K9" s="675" t="s">
        <v>165</v>
      </c>
      <c r="L9" s="675" t="s">
        <v>166</v>
      </c>
      <c r="M9" s="675" t="s">
        <v>167</v>
      </c>
      <c r="N9" s="675" t="s">
        <v>168</v>
      </c>
      <c r="O9" s="678"/>
      <c r="P9" s="695"/>
    </row>
    <row r="10" spans="1:16" ht="12.75">
      <c r="A10" s="679"/>
      <c r="B10" s="679"/>
      <c r="C10" s="684"/>
      <c r="D10" s="685"/>
      <c r="E10" s="692"/>
      <c r="F10" s="675"/>
      <c r="G10" s="675"/>
      <c r="H10" s="675"/>
      <c r="I10" s="675"/>
      <c r="J10" s="675"/>
      <c r="K10" s="675"/>
      <c r="L10" s="675"/>
      <c r="M10" s="675"/>
      <c r="N10" s="675"/>
      <c r="O10" s="679"/>
      <c r="P10" s="695"/>
    </row>
    <row r="11" spans="1:16" ht="18" customHeight="1">
      <c r="A11" s="123">
        <f>IF(OR($C$6="",$J$6="",$M$6=""),"",IF($B11="","",SUBTOTAL(3,$B$11:B11)))</f>
        <v>1</v>
      </c>
      <c r="B11" s="25" t="str">
        <f>IF(OR($C$6="",$J$6="",$M$6=""),"",IF(HKI!$B11="","",HKI!$B11))</f>
        <v>13D301Đ001</v>
      </c>
      <c r="C11" s="26" t="str">
        <f>IF(OR($C$6="",$J$6="",$M$6=""),"",IF(HKI!$C11="","",HKI!$C11))</f>
        <v>Lương Hoàng Thuận</v>
      </c>
      <c r="D11" s="152" t="str">
        <f>IF(OR($C$6="",$J$6="",$M$6=""),"",IF(HKI!$D11="","",HKI!$D11))</f>
        <v>An</v>
      </c>
      <c r="E11" s="467"/>
      <c r="F11" s="468">
        <v>8</v>
      </c>
      <c r="G11" s="469">
        <v>9</v>
      </c>
      <c r="H11" s="468">
        <v>5</v>
      </c>
      <c r="I11" s="468">
        <v>8</v>
      </c>
      <c r="J11" s="462"/>
      <c r="K11" s="462"/>
      <c r="L11" s="462"/>
      <c r="M11" s="462"/>
      <c r="N11" s="462"/>
      <c r="O11" s="198">
        <f>IF($B11="","",IF(OR($C$6="",$J$6="",$M$6=""),"",IF(ISNUMBER($E11)=TRUE,$E11,IF(COUNT($F11:$N11)=0,"",ROUND(SUM($F11:$N11)/COUNT($F11:$N11),1)))))</f>
        <v>7.5</v>
      </c>
      <c r="P11" s="204" t="str">
        <f>IF($B11="","",IF(OR($C$6="",$J$6="",$M$6=""),"",IF($O11="","KXL",IF($O11&lt;4,"Kém",IF($O11&lt;5.5,"TB Yếu",IF($O11&lt;7,"T.Bình",IF($O11&lt;8.5,"Khá","Giỏi")))))))</f>
        <v>Khá</v>
      </c>
    </row>
    <row r="12" spans="1:16" ht="18" customHeight="1">
      <c r="A12" s="123">
        <f>IF(OR($C$6="",$J$6="",$M$6=""),"",IF($B12="","",SUBTOTAL(3,$B$11:B12)))</f>
        <v>2</v>
      </c>
      <c r="B12" s="25" t="str">
        <f>IF(OR($C$6="",$J$6="",$M$6=""),"",IF(HKI!$B12="","",HKI!$B12))</f>
        <v>13D301Đ004</v>
      </c>
      <c r="C12" s="26" t="str">
        <f>IF(OR($C$6="",$J$6="",$M$6=""),"",IF(HKI!$C12="","",HKI!$C12))</f>
        <v>Đặng Thế</v>
      </c>
      <c r="D12" s="152" t="str">
        <f>IF(OR($C$6="",$J$6="",$M$6=""),"",IF(HKI!$D12="","",HKI!$D12))</f>
        <v>Anh</v>
      </c>
      <c r="E12" s="467"/>
      <c r="F12" s="470">
        <v>3</v>
      </c>
      <c r="G12" s="470">
        <v>5</v>
      </c>
      <c r="H12" s="468">
        <v>3</v>
      </c>
      <c r="I12" s="468">
        <v>5</v>
      </c>
      <c r="J12" s="462"/>
      <c r="K12" s="462"/>
      <c r="L12" s="462"/>
      <c r="M12" s="462"/>
      <c r="N12" s="462"/>
      <c r="O12" s="198">
        <f t="shared" ref="O12:O75" si="0">IF($B12="","",IF(OR($C$6="",$J$6="",$M$6=""),"",IF(ISNUMBER($E12)=TRUE,$E12,IF(COUNT($F12:$N12)=0,"",ROUND(SUM($F12:$N12)/COUNT($F12:$N12),1)))))</f>
        <v>4</v>
      </c>
      <c r="P12" s="204" t="str">
        <f t="shared" ref="P12:P77" si="1">IF($B12="","",IF(OR($C$6="",$J$6="",$M$6=""),"",IF($O12="","KXL",IF($O12&lt;4,"Kém",IF($O12&lt;5.5,"TB Yếu",IF($O12&lt;7,"T.Bình",IF($O12&lt;8.5,"Khá","Giỏi")))))))</f>
        <v>TB Yếu</v>
      </c>
    </row>
    <row r="13" spans="1:16" ht="18" customHeight="1">
      <c r="A13" s="123">
        <f>IF(OR($C$6="",$J$6="",$M$6=""),"",IF($B13="","",SUBTOTAL(3,$B$11:B13)))</f>
        <v>3</v>
      </c>
      <c r="B13" s="25" t="str">
        <f>IF(OR($C$6="",$J$6="",$M$6=""),"",IF(HKI!$B13="","",HKI!$B13))</f>
        <v>13D301Đ149</v>
      </c>
      <c r="C13" s="26" t="str">
        <f>IF(OR($C$6="",$J$6="",$M$6=""),"",IF(HKI!$C13="","",HKI!$C13))</f>
        <v>Đỗ Huỳnh</v>
      </c>
      <c r="D13" s="152" t="str">
        <f>IF(OR($C$6="",$J$6="",$M$6=""),"",IF(HKI!$D13="","",HKI!$D13))</f>
        <v>Bảo</v>
      </c>
      <c r="E13" s="467"/>
      <c r="F13" s="470">
        <v>6</v>
      </c>
      <c r="G13" s="470">
        <v>8</v>
      </c>
      <c r="H13" s="468">
        <v>6</v>
      </c>
      <c r="I13" s="468">
        <v>6</v>
      </c>
      <c r="J13" s="462"/>
      <c r="K13" s="462"/>
      <c r="L13" s="462"/>
      <c r="M13" s="462"/>
      <c r="N13" s="462"/>
      <c r="O13" s="198">
        <f t="shared" si="0"/>
        <v>6.5</v>
      </c>
      <c r="P13" s="204" t="str">
        <f t="shared" si="1"/>
        <v>T.Bình</v>
      </c>
    </row>
    <row r="14" spans="1:16" ht="18" customHeight="1">
      <c r="A14" s="123">
        <f>IF(OR($C$6="",$J$6="",$M$6=""),"",IF($B14="","",SUBTOTAL(3,$B$11:B14)))</f>
        <v>4</v>
      </c>
      <c r="B14" s="25" t="str">
        <f>IF(OR($C$6="",$J$6="",$M$6=""),"",IF(HKI!$B14="","",HKI!$B14))</f>
        <v>13D301Đ008</v>
      </c>
      <c r="C14" s="26" t="str">
        <f>IF(OR($C$6="",$J$6="",$M$6=""),"",IF(HKI!$C14="","",HKI!$C14))</f>
        <v>Trương Vũ</v>
      </c>
      <c r="D14" s="152" t="str">
        <f>IF(OR($C$6="",$J$6="",$M$6=""),"",IF(HKI!$D14="","",HKI!$D14))</f>
        <v>Bảo</v>
      </c>
      <c r="E14" s="467"/>
      <c r="F14" s="470">
        <v>6</v>
      </c>
      <c r="G14" s="470">
        <v>8</v>
      </c>
      <c r="H14" s="468">
        <v>6</v>
      </c>
      <c r="I14" s="468">
        <v>8</v>
      </c>
      <c r="J14" s="462"/>
      <c r="K14" s="462"/>
      <c r="L14" s="462"/>
      <c r="M14" s="462"/>
      <c r="N14" s="462"/>
      <c r="O14" s="198">
        <f t="shared" si="0"/>
        <v>7</v>
      </c>
      <c r="P14" s="204" t="str">
        <f t="shared" si="1"/>
        <v>Khá</v>
      </c>
    </row>
    <row r="15" spans="1:16" ht="18" customHeight="1">
      <c r="A15" s="123">
        <f>IF(OR($C$6="",$J$6="",$M$6=""),"",IF($B15="","",SUBTOTAL(3,$B$11:B15)))</f>
        <v>5</v>
      </c>
      <c r="B15" s="25" t="str">
        <f>IF(OR($C$6="",$J$6="",$M$6=""),"",IF(HKI!$B15="","",HKI!$B15))</f>
        <v>13D301Đ009</v>
      </c>
      <c r="C15" s="26" t="str">
        <f>IF(OR($C$6="",$J$6="",$M$6=""),"",IF(HKI!$C15="","",HKI!$C15))</f>
        <v>Võ Thành</v>
      </c>
      <c r="D15" s="152" t="str">
        <f>IF(OR($C$6="",$J$6="",$M$6=""),"",IF(HKI!$D15="","",HKI!$D15))</f>
        <v>Bảo</v>
      </c>
      <c r="E15" s="467"/>
      <c r="F15" s="470">
        <v>3</v>
      </c>
      <c r="G15" s="470">
        <v>6</v>
      </c>
      <c r="H15" s="468">
        <v>3</v>
      </c>
      <c r="I15" s="468">
        <v>2</v>
      </c>
      <c r="J15" s="462"/>
      <c r="K15" s="462"/>
      <c r="L15" s="462"/>
      <c r="M15" s="462"/>
      <c r="N15" s="462"/>
      <c r="O15" s="198">
        <f t="shared" si="0"/>
        <v>3.5</v>
      </c>
      <c r="P15" s="204" t="str">
        <f t="shared" si="1"/>
        <v>Kém</v>
      </c>
    </row>
    <row r="16" spans="1:16" ht="18" customHeight="1">
      <c r="A16" s="123">
        <f>IF(OR($C$6="",$J$6="",$M$6=""),"",IF($B16="","",SUBTOTAL(3,$B$11:B16)))</f>
        <v>6</v>
      </c>
      <c r="B16" s="25" t="str">
        <f>IF(OR($C$6="",$J$6="",$M$6=""),"",IF(HKI!$B16="","",HKI!$B16))</f>
        <v>13D301Đ013</v>
      </c>
      <c r="C16" s="26" t="str">
        <f>IF(OR($C$6="",$J$6="",$M$6=""),"",IF(HKI!$C16="","",HKI!$C16))</f>
        <v>Nguyễn Chí</v>
      </c>
      <c r="D16" s="152" t="str">
        <f>IF(OR($C$6="",$J$6="",$M$6=""),"",IF(HKI!$D16="","",HKI!$D16))</f>
        <v>Bình</v>
      </c>
      <c r="E16" s="467"/>
      <c r="F16" s="470">
        <v>3</v>
      </c>
      <c r="G16" s="470">
        <v>6</v>
      </c>
      <c r="H16" s="468">
        <v>3</v>
      </c>
      <c r="I16" s="468">
        <v>8</v>
      </c>
      <c r="J16" s="462"/>
      <c r="K16" s="462"/>
      <c r="L16" s="462"/>
      <c r="M16" s="462"/>
      <c r="N16" s="462"/>
      <c r="O16" s="198">
        <f t="shared" si="0"/>
        <v>5</v>
      </c>
      <c r="P16" s="204" t="str">
        <f t="shared" si="1"/>
        <v>TB Yếu</v>
      </c>
    </row>
    <row r="17" spans="1:16" ht="18" customHeight="1">
      <c r="A17" s="123">
        <f>IF(OR($C$6="",$J$6="",$M$6=""),"",IF($B17="","",SUBTOTAL(3,$B$11:B17)))</f>
        <v>7</v>
      </c>
      <c r="B17" s="25" t="str">
        <f>IF(OR($C$6="",$J$6="",$M$6=""),"",IF(HKI!$B17="","",HKI!$B17))</f>
        <v>13D301Đ016</v>
      </c>
      <c r="C17" s="26" t="str">
        <f>IF(OR($C$6="",$J$6="",$M$6=""),"",IF(HKI!$C17="","",HKI!$C17))</f>
        <v>Vũ Văn</v>
      </c>
      <c r="D17" s="152" t="str">
        <f>IF(OR($C$6="",$J$6="",$M$6=""),"",IF(HKI!$D17="","",HKI!$D17))</f>
        <v>Chiến</v>
      </c>
      <c r="E17" s="467"/>
      <c r="F17" s="470">
        <v>3</v>
      </c>
      <c r="G17" s="470">
        <v>6</v>
      </c>
      <c r="H17" s="468">
        <v>6</v>
      </c>
      <c r="I17" s="468">
        <v>3</v>
      </c>
      <c r="J17" s="462"/>
      <c r="K17" s="462"/>
      <c r="L17" s="462"/>
      <c r="M17" s="462"/>
      <c r="N17" s="462"/>
      <c r="O17" s="198">
        <f t="shared" si="0"/>
        <v>4.5</v>
      </c>
      <c r="P17" s="204" t="str">
        <f t="shared" si="1"/>
        <v>TB Yếu</v>
      </c>
    </row>
    <row r="18" spans="1:16" ht="18" customHeight="1">
      <c r="A18" s="123">
        <f>IF(OR($C$6="",$J$6="",$M$6=""),"",IF($B18="","",SUBTOTAL(3,$B$11:B18)))</f>
        <v>8</v>
      </c>
      <c r="B18" s="25" t="str">
        <f>IF(OR($C$6="",$J$6="",$M$6=""),"",IF(HKI!$B18="","",HKI!$B18))</f>
        <v>13D301Đ017</v>
      </c>
      <c r="C18" s="26" t="str">
        <f>IF(OR($C$6="",$J$6="",$M$6=""),"",IF(HKI!$C18="","",HKI!$C18))</f>
        <v>Trần Văn</v>
      </c>
      <c r="D18" s="152" t="str">
        <f>IF(OR($C$6="",$J$6="",$M$6=""),"",IF(HKI!$D18="","",HKI!$D18))</f>
        <v>Chinh</v>
      </c>
      <c r="E18" s="467"/>
      <c r="F18" s="469">
        <v>3</v>
      </c>
      <c r="G18" s="469">
        <v>6</v>
      </c>
      <c r="H18" s="468">
        <v>6</v>
      </c>
      <c r="I18" s="468">
        <v>6</v>
      </c>
      <c r="J18" s="462"/>
      <c r="K18" s="462"/>
      <c r="L18" s="462"/>
      <c r="M18" s="462"/>
      <c r="N18" s="462"/>
      <c r="O18" s="198">
        <f t="shared" si="0"/>
        <v>5.3</v>
      </c>
      <c r="P18" s="204" t="str">
        <f t="shared" si="1"/>
        <v>TB Yếu</v>
      </c>
    </row>
    <row r="19" spans="1:16" ht="18" customHeight="1">
      <c r="A19" s="123">
        <f>IF(OR($C$6="",$J$6="",$M$6=""),"",IF($B19="","",SUBTOTAL(3,$B$11:B19)))</f>
        <v>9</v>
      </c>
      <c r="B19" s="25" t="str">
        <f>IF(OR($C$6="",$J$6="",$M$6=""),"",IF(HKI!$B19="","",HKI!$B19))</f>
        <v>13D301Đ193</v>
      </c>
      <c r="C19" s="26" t="str">
        <f>IF(OR($C$6="",$J$6="",$M$6=""),"",IF(HKI!$C19="","",HKI!$C19))</f>
        <v>Phạm Công</v>
      </c>
      <c r="D19" s="152" t="str">
        <f>IF(OR($C$6="",$J$6="",$M$6=""),"",IF(HKI!$D19="","",HKI!$D19))</f>
        <v>Chính</v>
      </c>
      <c r="E19" s="467"/>
      <c r="F19" s="470">
        <v>2</v>
      </c>
      <c r="G19" s="470">
        <v>0</v>
      </c>
      <c r="H19" s="468">
        <v>2</v>
      </c>
      <c r="I19" s="468">
        <v>2</v>
      </c>
      <c r="J19" s="462"/>
      <c r="K19" s="462"/>
      <c r="L19" s="462"/>
      <c r="M19" s="462"/>
      <c r="N19" s="462"/>
      <c r="O19" s="198">
        <f t="shared" si="0"/>
        <v>1.5</v>
      </c>
      <c r="P19" s="204" t="str">
        <f t="shared" si="1"/>
        <v>Kém</v>
      </c>
    </row>
    <row r="20" spans="1:16" ht="18" customHeight="1">
      <c r="A20" s="123">
        <f>IF(OR($C$6="",$J$6="",$M$6=""),"",IF($B20="","",SUBTOTAL(3,$B$11:B20)))</f>
        <v>10</v>
      </c>
      <c r="B20" s="25" t="str">
        <f>IF(OR($C$6="",$J$6="",$M$6=""),"",IF(HKI!$B20="","",HKI!$B20))</f>
        <v>13D301Đ020</v>
      </c>
      <c r="C20" s="26" t="str">
        <f>IF(OR($C$6="",$J$6="",$M$6=""),"",IF(HKI!$C20="","",HKI!$C20))</f>
        <v>Trịnh Lê</v>
      </c>
      <c r="D20" s="152" t="str">
        <f>IF(OR($C$6="",$J$6="",$M$6=""),"",IF(HKI!$D20="","",HKI!$D20))</f>
        <v>Cung</v>
      </c>
      <c r="E20" s="467"/>
      <c r="F20" s="470">
        <v>3</v>
      </c>
      <c r="G20" s="470">
        <v>9</v>
      </c>
      <c r="H20" s="468">
        <v>6</v>
      </c>
      <c r="I20" s="468">
        <v>6</v>
      </c>
      <c r="J20" s="462"/>
      <c r="K20" s="462"/>
      <c r="L20" s="462"/>
      <c r="M20" s="462"/>
      <c r="N20" s="462"/>
      <c r="O20" s="198">
        <f t="shared" si="0"/>
        <v>6</v>
      </c>
      <c r="P20" s="204" t="str">
        <f t="shared" si="1"/>
        <v>T.Bình</v>
      </c>
    </row>
    <row r="21" spans="1:16" ht="18" customHeight="1">
      <c r="A21" s="123">
        <f>IF(OR($C$6="",$J$6="",$M$6=""),"",IF($B21="","",SUBTOTAL(3,$B$11:B21)))</f>
        <v>11</v>
      </c>
      <c r="B21" s="25" t="str">
        <f>IF(OR($C$6="",$J$6="",$M$6=""),"",IF(HKI!$B21="","",HKI!$B21))</f>
        <v>13D301Đ021</v>
      </c>
      <c r="C21" s="26" t="str">
        <f>IF(OR($C$6="",$J$6="",$M$6=""),"",IF(HKI!$C21="","",HKI!$C21))</f>
        <v>Nguyễn Chí</v>
      </c>
      <c r="D21" s="152" t="str">
        <f>IF(OR($C$6="",$J$6="",$M$6=""),"",IF(HKI!$D21="","",HKI!$D21))</f>
        <v>Cường</v>
      </c>
      <c r="E21" s="467"/>
      <c r="F21" s="470">
        <v>3</v>
      </c>
      <c r="G21" s="470">
        <v>6</v>
      </c>
      <c r="H21" s="468">
        <v>6</v>
      </c>
      <c r="I21" s="468">
        <v>3</v>
      </c>
      <c r="J21" s="462"/>
      <c r="K21" s="462"/>
      <c r="L21" s="462"/>
      <c r="M21" s="462"/>
      <c r="N21" s="462"/>
      <c r="O21" s="198">
        <f t="shared" si="0"/>
        <v>4.5</v>
      </c>
      <c r="P21" s="204" t="str">
        <f t="shared" si="1"/>
        <v>TB Yếu</v>
      </c>
    </row>
    <row r="22" spans="1:16" ht="18" customHeight="1">
      <c r="A22" s="123">
        <f>IF(OR($C$6="",$J$6="",$M$6=""),"",IF($B22="","",SUBTOTAL(3,$B$11:B22)))</f>
        <v>12</v>
      </c>
      <c r="B22" s="25" t="str">
        <f>IF(OR($C$6="",$J$6="",$M$6=""),"",IF(HKI!$B22="","",HKI!$B22))</f>
        <v>13D301Đ033</v>
      </c>
      <c r="C22" s="26" t="str">
        <f>IF(OR($C$6="",$J$6="",$M$6=""),"",IF(HKI!$C22="","",HKI!$C22))</f>
        <v xml:space="preserve">Trương Văn </v>
      </c>
      <c r="D22" s="152" t="str">
        <f>IF(OR($C$6="",$J$6="",$M$6=""),"",IF(HKI!$D22="","",HKI!$D22))</f>
        <v>Đạt</v>
      </c>
      <c r="E22" s="467"/>
      <c r="F22" s="470">
        <v>3</v>
      </c>
      <c r="G22" s="470">
        <v>7</v>
      </c>
      <c r="H22" s="468">
        <v>6</v>
      </c>
      <c r="I22" s="468">
        <v>6</v>
      </c>
      <c r="J22" s="462"/>
      <c r="K22" s="462"/>
      <c r="L22" s="462"/>
      <c r="M22" s="462"/>
      <c r="N22" s="462"/>
      <c r="O22" s="198">
        <f t="shared" si="0"/>
        <v>5.5</v>
      </c>
      <c r="P22" s="204" t="str">
        <f t="shared" si="1"/>
        <v>T.Bình</v>
      </c>
    </row>
    <row r="23" spans="1:16" ht="18" customHeight="1">
      <c r="A23" s="123">
        <f>IF(OR($C$6="",$J$6="",$M$6=""),"",IF($B23="","",SUBTOTAL(3,$B$11:B23)))</f>
        <v>13</v>
      </c>
      <c r="B23" s="25" t="str">
        <f>IF(OR($C$6="",$J$6="",$M$6=""),"",IF(HKI!$B23="","",HKI!$B23))</f>
        <v>13D301Đ037</v>
      </c>
      <c r="C23" s="26" t="str">
        <f>IF(OR($C$6="",$J$6="",$M$6=""),"",IF(HKI!$C23="","",HKI!$C23))</f>
        <v>Nguyễn Thành</v>
      </c>
      <c r="D23" s="152" t="str">
        <f>IF(OR($C$6="",$J$6="",$M$6=""),"",IF(HKI!$D23="","",HKI!$D23))</f>
        <v>Đông</v>
      </c>
      <c r="E23" s="467"/>
      <c r="F23" s="470">
        <v>3</v>
      </c>
      <c r="G23" s="470">
        <v>6</v>
      </c>
      <c r="H23" s="468">
        <v>6</v>
      </c>
      <c r="I23" s="468">
        <v>5</v>
      </c>
      <c r="J23" s="462"/>
      <c r="K23" s="462"/>
      <c r="L23" s="462"/>
      <c r="M23" s="462"/>
      <c r="N23" s="462"/>
      <c r="O23" s="198">
        <f t="shared" si="0"/>
        <v>5</v>
      </c>
      <c r="P23" s="204" t="str">
        <f t="shared" si="1"/>
        <v>TB Yếu</v>
      </c>
    </row>
    <row r="24" spans="1:16" ht="18" customHeight="1">
      <c r="A24" s="123">
        <f>IF(OR($C$6="",$J$6="",$M$6=""),"",IF($B24="","",SUBTOTAL(3,$B$11:B24)))</f>
        <v>14</v>
      </c>
      <c r="B24" s="25" t="str">
        <f>IF(OR($C$6="",$J$6="",$M$6=""),"",IF(HKI!$B24="","",HKI!$B24))</f>
        <v>13D301Đ024</v>
      </c>
      <c r="C24" s="26" t="str">
        <f>IF(OR($C$6="",$J$6="",$M$6=""),"",IF(HKI!$C24="","",HKI!$C24))</f>
        <v xml:space="preserve">Trương Công </v>
      </c>
      <c r="D24" s="152" t="str">
        <f>IF(OR($C$6="",$J$6="",$M$6=""),"",IF(HKI!$D24="","",HKI!$D24))</f>
        <v>Duẩn</v>
      </c>
      <c r="E24" s="467"/>
      <c r="F24" s="470">
        <v>9</v>
      </c>
      <c r="G24" s="471">
        <v>10</v>
      </c>
      <c r="H24" s="468">
        <v>3</v>
      </c>
      <c r="I24" s="468">
        <v>8</v>
      </c>
      <c r="J24" s="462"/>
      <c r="K24" s="462"/>
      <c r="L24" s="462"/>
      <c r="M24" s="462"/>
      <c r="N24" s="462"/>
      <c r="O24" s="198">
        <f t="shared" si="0"/>
        <v>7.5</v>
      </c>
      <c r="P24" s="204" t="str">
        <f t="shared" si="1"/>
        <v>Khá</v>
      </c>
    </row>
    <row r="25" spans="1:16" ht="18" customHeight="1">
      <c r="A25" s="123">
        <f>IF(OR($C$6="",$J$6="",$M$6=""),"",IF($B25="","",SUBTOTAL(3,$B$11:B25)))</f>
        <v>15</v>
      </c>
      <c r="B25" s="25" t="str">
        <f>IF(OR($C$6="",$J$6="",$M$6=""),"",IF(HKI!$B25="","",HKI!$B25))</f>
        <v>13D301Đ191</v>
      </c>
      <c r="C25" s="26" t="str">
        <f>IF(OR($C$6="",$J$6="",$M$6=""),"",IF(HKI!$C25="","",HKI!$C25))</f>
        <v>Nguyễn Hiền</v>
      </c>
      <c r="D25" s="152" t="str">
        <f>IF(OR($C$6="",$J$6="",$M$6=""),"",IF(HKI!$D25="","",HKI!$D25))</f>
        <v>Đức</v>
      </c>
      <c r="E25" s="467"/>
      <c r="F25" s="470">
        <v>3</v>
      </c>
      <c r="G25" s="470">
        <v>7</v>
      </c>
      <c r="H25" s="468">
        <v>6</v>
      </c>
      <c r="I25" s="468">
        <v>8</v>
      </c>
      <c r="J25" s="462"/>
      <c r="K25" s="462"/>
      <c r="L25" s="462"/>
      <c r="M25" s="462"/>
      <c r="N25" s="462"/>
      <c r="O25" s="198">
        <f t="shared" si="0"/>
        <v>6</v>
      </c>
      <c r="P25" s="204" t="str">
        <f t="shared" si="1"/>
        <v>T.Bình</v>
      </c>
    </row>
    <row r="26" spans="1:16" ht="18" customHeight="1">
      <c r="A26" s="123">
        <f>IF(OR($C$6="",$J$6="",$M$6=""),"",IF($B26="","",SUBTOTAL(3,$B$11:B26)))</f>
        <v>16</v>
      </c>
      <c r="B26" s="25" t="str">
        <f>IF(OR($C$6="",$J$6="",$M$6=""),"",IF(HKI!$B26="","",HKI!$B26))</f>
        <v>13D301Đ040</v>
      </c>
      <c r="C26" s="26" t="str">
        <f>IF(OR($C$6="",$J$6="",$M$6=""),"",IF(HKI!$C26="","",HKI!$C26))</f>
        <v>Nguyễn Văn</v>
      </c>
      <c r="D26" s="152" t="str">
        <f>IF(OR($C$6="",$J$6="",$M$6=""),"",IF(HKI!$D26="","",HKI!$D26))</f>
        <v>Đức</v>
      </c>
      <c r="E26" s="467"/>
      <c r="F26" s="470">
        <v>3</v>
      </c>
      <c r="G26" s="470">
        <v>7</v>
      </c>
      <c r="H26" s="468">
        <v>8</v>
      </c>
      <c r="I26" s="468">
        <v>6</v>
      </c>
      <c r="J26" s="462"/>
      <c r="K26" s="462"/>
      <c r="L26" s="462"/>
      <c r="M26" s="462"/>
      <c r="N26" s="462"/>
      <c r="O26" s="198">
        <f t="shared" si="0"/>
        <v>6</v>
      </c>
      <c r="P26" s="204" t="str">
        <f t="shared" si="1"/>
        <v>T.Bình</v>
      </c>
    </row>
    <row r="27" spans="1:16" ht="18" customHeight="1">
      <c r="A27" s="123">
        <f>IF(OR($C$6="",$J$6="",$M$6=""),"",IF($B27="","",SUBTOTAL(3,$B$11:B27)))</f>
        <v>17</v>
      </c>
      <c r="B27" s="25" t="str">
        <f>IF(OR($C$6="",$J$6="",$M$6=""),"",IF(HKI!$B27="","",HKI!$B27))</f>
        <v>13D301Đ025</v>
      </c>
      <c r="C27" s="26" t="str">
        <f>IF(OR($C$6="",$J$6="",$M$6=""),"",IF(HKI!$C27="","",HKI!$C27))</f>
        <v>Nguyễn Ngọc</v>
      </c>
      <c r="D27" s="152" t="str">
        <f>IF(OR($C$6="",$J$6="",$M$6=""),"",IF(HKI!$D27="","",HKI!$D27))</f>
        <v>Dũng</v>
      </c>
      <c r="E27" s="467"/>
      <c r="F27" s="470">
        <v>3</v>
      </c>
      <c r="G27" s="470">
        <v>6</v>
      </c>
      <c r="H27" s="468">
        <v>2</v>
      </c>
      <c r="I27" s="468">
        <v>3</v>
      </c>
      <c r="J27" s="462"/>
      <c r="K27" s="462"/>
      <c r="L27" s="462"/>
      <c r="M27" s="462"/>
      <c r="N27" s="462"/>
      <c r="O27" s="198">
        <f t="shared" si="0"/>
        <v>3.5</v>
      </c>
      <c r="P27" s="204" t="str">
        <f t="shared" si="1"/>
        <v>Kém</v>
      </c>
    </row>
    <row r="28" spans="1:16" ht="18" customHeight="1">
      <c r="A28" s="123">
        <f>IF(OR($C$6="",$J$6="",$M$6=""),"",IF($B28="","",SUBTOTAL(3,$B$11:B28)))</f>
        <v>18</v>
      </c>
      <c r="B28" s="25" t="str">
        <f>IF(OR($C$6="",$J$6="",$M$6=""),"",IF(HKI!$B28="","",HKI!$B28))</f>
        <v>13D301Đ192</v>
      </c>
      <c r="C28" s="26" t="str">
        <f>IF(OR($C$6="",$J$6="",$M$6=""),"",IF(HKI!$C28="","",HKI!$C28))</f>
        <v>Cao Trùng</v>
      </c>
      <c r="D28" s="152" t="str">
        <f>IF(OR($C$6="",$J$6="",$M$6=""),"",IF(HKI!$D28="","",HKI!$D28))</f>
        <v>Dương</v>
      </c>
      <c r="E28" s="467"/>
      <c r="F28" s="470">
        <v>3</v>
      </c>
      <c r="G28" s="470">
        <v>8</v>
      </c>
      <c r="H28" s="468">
        <v>6</v>
      </c>
      <c r="I28" s="468">
        <v>5</v>
      </c>
      <c r="J28" s="462"/>
      <c r="K28" s="462"/>
      <c r="L28" s="462"/>
      <c r="M28" s="462"/>
      <c r="N28" s="462"/>
      <c r="O28" s="198">
        <f t="shared" si="0"/>
        <v>5.5</v>
      </c>
      <c r="P28" s="204" t="str">
        <f t="shared" si="1"/>
        <v>T.Bình</v>
      </c>
    </row>
    <row r="29" spans="1:16" ht="18" customHeight="1">
      <c r="A29" s="123">
        <f>IF(OR($C$6="",$J$6="",$M$6=""),"",IF($B29="","",SUBTOTAL(3,$B$11:B29)))</f>
        <v>19</v>
      </c>
      <c r="B29" s="25" t="str">
        <f>IF(OR($C$6="",$J$6="",$M$6=""),"",IF(HKI!$B29="","",HKI!$B29))</f>
        <v>13D301Đ028</v>
      </c>
      <c r="C29" s="26" t="str">
        <f>IF(OR($C$6="",$J$6="",$M$6=""),"",IF(HKI!$C29="","",HKI!$C29))</f>
        <v>Hoàng Văn</v>
      </c>
      <c r="D29" s="152" t="str">
        <f>IF(OR($C$6="",$J$6="",$M$6=""),"",IF(HKI!$D29="","",HKI!$D29))</f>
        <v>Duy</v>
      </c>
      <c r="E29" s="467"/>
      <c r="F29" s="470">
        <v>2</v>
      </c>
      <c r="G29" s="470">
        <v>0</v>
      </c>
      <c r="H29" s="468">
        <v>2</v>
      </c>
      <c r="I29" s="468">
        <v>2</v>
      </c>
      <c r="J29" s="462"/>
      <c r="K29" s="462"/>
      <c r="L29" s="462"/>
      <c r="M29" s="462"/>
      <c r="N29" s="462"/>
      <c r="O29" s="198">
        <f t="shared" si="0"/>
        <v>1.5</v>
      </c>
      <c r="P29" s="204" t="str">
        <f t="shared" si="1"/>
        <v>Kém</v>
      </c>
    </row>
    <row r="30" spans="1:16" ht="18" customHeight="1">
      <c r="A30" s="123">
        <f>IF(OR($C$6="",$J$6="",$M$6=""),"",IF($B30="","",SUBTOTAL(3,$B$11:B30)))</f>
        <v>20</v>
      </c>
      <c r="B30" s="25" t="str">
        <f>IF(OR($C$6="",$J$6="",$M$6=""),"",IF(HKI!$B30="","",HKI!$B30))</f>
        <v>13D301Đ181</v>
      </c>
      <c r="C30" s="26" t="str">
        <f>IF(OR($C$6="",$J$6="",$M$6=""),"",IF(HKI!$C30="","",HKI!$C30))</f>
        <v>Lâm Văn</v>
      </c>
      <c r="D30" s="152" t="str">
        <f>IF(OR($C$6="",$J$6="",$M$6=""),"",IF(HKI!$D30="","",HKI!$D30))</f>
        <v>Duy</v>
      </c>
      <c r="E30" s="467"/>
      <c r="F30" s="470">
        <v>3</v>
      </c>
      <c r="G30" s="470">
        <v>7</v>
      </c>
      <c r="H30" s="468">
        <v>7</v>
      </c>
      <c r="I30" s="468">
        <v>7</v>
      </c>
      <c r="J30" s="462"/>
      <c r="K30" s="462"/>
      <c r="L30" s="462"/>
      <c r="M30" s="462"/>
      <c r="N30" s="462"/>
      <c r="O30" s="198">
        <f t="shared" si="0"/>
        <v>6</v>
      </c>
      <c r="P30" s="204" t="str">
        <f t="shared" si="1"/>
        <v>T.Bình</v>
      </c>
    </row>
    <row r="31" spans="1:16" ht="18" customHeight="1">
      <c r="A31" s="123">
        <f>IF(OR($C$6="",$J$6="",$M$6=""),"",IF($B31="","",SUBTOTAL(3,$B$11:B31)))</f>
        <v>21</v>
      </c>
      <c r="B31" s="25" t="str">
        <f>IF(OR($C$6="",$J$6="",$M$6=""),"",IF(HKI!$B31="","",HKI!$B31))</f>
        <v>13D301Đ041</v>
      </c>
      <c r="C31" s="26" t="str">
        <f>IF(OR($C$6="",$J$6="",$M$6=""),"",IF(HKI!$C31="","",HKI!$C31))</f>
        <v>Lê Hoàng</v>
      </c>
      <c r="D31" s="152" t="str">
        <f>IF(OR($C$6="",$J$6="",$M$6=""),"",IF(HKI!$D31="","",HKI!$D31))</f>
        <v>Giang</v>
      </c>
      <c r="E31" s="467"/>
      <c r="F31" s="470">
        <v>3</v>
      </c>
      <c r="G31" s="470">
        <v>6</v>
      </c>
      <c r="H31" s="468">
        <v>8</v>
      </c>
      <c r="I31" s="468">
        <v>4</v>
      </c>
      <c r="J31" s="462"/>
      <c r="K31" s="462"/>
      <c r="L31" s="462"/>
      <c r="M31" s="462"/>
      <c r="N31" s="462"/>
      <c r="O31" s="198">
        <f t="shared" si="0"/>
        <v>5.3</v>
      </c>
      <c r="P31" s="204" t="str">
        <f t="shared" si="1"/>
        <v>TB Yếu</v>
      </c>
    </row>
    <row r="32" spans="1:16" ht="18" customHeight="1">
      <c r="A32" s="123">
        <f>IF(OR($C$6="",$J$6="",$M$6=""),"",IF($B32="","",SUBTOTAL(3,$B$11:B32)))</f>
        <v>22</v>
      </c>
      <c r="B32" s="25" t="str">
        <f>IF(OR($C$6="",$J$6="",$M$6=""),"",IF(HKI!$B32="","",HKI!$B32))</f>
        <v>13D301Đ045</v>
      </c>
      <c r="C32" s="26" t="str">
        <f>IF(OR($C$6="",$J$6="",$M$6=""),"",IF(HKI!$C32="","",HKI!$C32))</f>
        <v>Lê Công</v>
      </c>
      <c r="D32" s="152" t="str">
        <f>IF(OR($C$6="",$J$6="",$M$6=""),"",IF(HKI!$D32="","",HKI!$D32))</f>
        <v>Hậu</v>
      </c>
      <c r="E32" s="467"/>
      <c r="F32" s="469">
        <v>3</v>
      </c>
      <c r="G32" s="469">
        <v>6</v>
      </c>
      <c r="H32" s="468">
        <v>8</v>
      </c>
      <c r="I32" s="468">
        <v>8</v>
      </c>
      <c r="J32" s="462"/>
      <c r="K32" s="462"/>
      <c r="L32" s="462"/>
      <c r="M32" s="462"/>
      <c r="N32" s="462"/>
      <c r="O32" s="198">
        <f t="shared" si="0"/>
        <v>6.3</v>
      </c>
      <c r="P32" s="204" t="str">
        <f t="shared" si="1"/>
        <v>T.Bình</v>
      </c>
    </row>
    <row r="33" spans="1:16" ht="18" customHeight="1">
      <c r="A33" s="123">
        <f>IF(OR($C$6="",$J$6="",$M$6=""),"",IF($B33="","",SUBTOTAL(3,$B$11:B33)))</f>
        <v>23</v>
      </c>
      <c r="B33" s="25" t="str">
        <f>IF(OR($C$6="",$J$6="",$M$6=""),"",IF(HKI!$B33="","",HKI!$B33))</f>
        <v>13D301Đ048</v>
      </c>
      <c r="C33" s="26" t="str">
        <f>IF(OR($C$6="",$J$6="",$M$6=""),"",IF(HKI!$C33="","",HKI!$C33))</f>
        <v>Hồ Văn</v>
      </c>
      <c r="D33" s="152" t="str">
        <f>IF(OR($C$6="",$J$6="",$M$6=""),"",IF(HKI!$D33="","",HKI!$D33))</f>
        <v>Hiệp</v>
      </c>
      <c r="E33" s="467"/>
      <c r="F33" s="469">
        <v>6</v>
      </c>
      <c r="G33" s="469">
        <v>7</v>
      </c>
      <c r="H33" s="468">
        <v>7</v>
      </c>
      <c r="I33" s="468">
        <v>8</v>
      </c>
      <c r="J33" s="462"/>
      <c r="K33" s="462"/>
      <c r="L33" s="462"/>
      <c r="M33" s="462"/>
      <c r="N33" s="462"/>
      <c r="O33" s="198">
        <f t="shared" si="0"/>
        <v>7</v>
      </c>
      <c r="P33" s="204" t="str">
        <f t="shared" si="1"/>
        <v>Khá</v>
      </c>
    </row>
    <row r="34" spans="1:16" ht="18" customHeight="1">
      <c r="A34" s="123">
        <f>IF(OR($C$6="",$J$6="",$M$6=""),"",IF($B34="","",SUBTOTAL(3,$B$11:B34)))</f>
        <v>24</v>
      </c>
      <c r="B34" s="25" t="str">
        <f>IF(OR($C$6="",$J$6="",$M$6=""),"",IF(HKI!$B34="","",HKI!$B34))</f>
        <v>13D301Đ049</v>
      </c>
      <c r="C34" s="26" t="str">
        <f>IF(OR($C$6="",$J$6="",$M$6=""),"",IF(HKI!$C34="","",HKI!$C34))</f>
        <v>Lê Minh</v>
      </c>
      <c r="D34" s="152" t="str">
        <f>IF(OR($C$6="",$J$6="",$M$6=""),"",IF(HKI!$D34="","",HKI!$D34))</f>
        <v>Hiếu</v>
      </c>
      <c r="E34" s="467"/>
      <c r="F34" s="469">
        <v>3</v>
      </c>
      <c r="G34" s="469">
        <v>6</v>
      </c>
      <c r="H34" s="468">
        <v>7</v>
      </c>
      <c r="I34" s="468">
        <v>7</v>
      </c>
      <c r="J34" s="462"/>
      <c r="K34" s="462"/>
      <c r="L34" s="462"/>
      <c r="M34" s="462"/>
      <c r="N34" s="462"/>
      <c r="O34" s="198">
        <f t="shared" si="0"/>
        <v>5.8</v>
      </c>
      <c r="P34" s="204" t="str">
        <f t="shared" si="1"/>
        <v>T.Bình</v>
      </c>
    </row>
    <row r="35" spans="1:16" ht="18" customHeight="1">
      <c r="A35" s="123">
        <f>IF(OR($C$6="",$J$6="",$M$6=""),"",IF($B35="","",SUBTOTAL(3,$B$11:B35)))</f>
        <v>25</v>
      </c>
      <c r="B35" s="25" t="str">
        <f>IF(OR($C$6="",$J$6="",$M$6=""),"",IF(HKI!$B35="","",HKI!$B35))</f>
        <v>13D301Đ053</v>
      </c>
      <c r="C35" s="26" t="str">
        <f>IF(OR($C$6="",$J$6="",$M$6=""),"",IF(HKI!$C35="","",HKI!$C35))</f>
        <v>Nguyễn Ngọc</v>
      </c>
      <c r="D35" s="152" t="str">
        <f>IF(OR($C$6="",$J$6="",$M$6=""),"",IF(HKI!$D35="","",HKI!$D35))</f>
        <v>Hoài</v>
      </c>
      <c r="E35" s="467"/>
      <c r="F35" s="469">
        <v>6</v>
      </c>
      <c r="G35" s="469">
        <v>8</v>
      </c>
      <c r="H35" s="468">
        <v>7</v>
      </c>
      <c r="I35" s="468">
        <v>7</v>
      </c>
      <c r="J35" s="462"/>
      <c r="K35" s="462"/>
      <c r="L35" s="462"/>
      <c r="M35" s="462"/>
      <c r="N35" s="462"/>
      <c r="O35" s="198">
        <f t="shared" si="0"/>
        <v>7</v>
      </c>
      <c r="P35" s="204" t="str">
        <f t="shared" si="1"/>
        <v>Khá</v>
      </c>
    </row>
    <row r="36" spans="1:16" ht="18" customHeight="1">
      <c r="A36" s="123">
        <f>IF(OR($C$6="",$J$6="",$M$6=""),"",IF($B36="","",SUBTOTAL(3,$B$11:B36)))</f>
        <v>26</v>
      </c>
      <c r="B36" s="25" t="str">
        <f>IF(OR($C$6="",$J$6="",$M$6=""),"",IF(HKI!$B36="","",HKI!$B36))</f>
        <v>13D301Đ056</v>
      </c>
      <c r="C36" s="26" t="str">
        <f>IF(OR($C$6="",$J$6="",$M$6=""),"",IF(HKI!$C36="","",HKI!$C36))</f>
        <v>Trần Huy</v>
      </c>
      <c r="D36" s="152" t="str">
        <f>IF(OR($C$6="",$J$6="",$M$6=""),"",IF(HKI!$D36="","",HKI!$D36))</f>
        <v>Hoàng</v>
      </c>
      <c r="E36" s="467"/>
      <c r="F36" s="469">
        <v>3</v>
      </c>
      <c r="G36" s="469">
        <v>7</v>
      </c>
      <c r="H36" s="468">
        <v>5</v>
      </c>
      <c r="I36" s="468">
        <v>6</v>
      </c>
      <c r="J36" s="462"/>
      <c r="K36" s="462"/>
      <c r="L36" s="462"/>
      <c r="M36" s="462"/>
      <c r="N36" s="462"/>
      <c r="O36" s="198">
        <f t="shared" si="0"/>
        <v>5.3</v>
      </c>
      <c r="P36" s="204" t="str">
        <f t="shared" si="1"/>
        <v>TB Yếu</v>
      </c>
    </row>
    <row r="37" spans="1:16" ht="18" customHeight="1">
      <c r="A37" s="123">
        <f>IF(OR($C$6="",$J$6="",$M$6=""),"",IF($B37="","",SUBTOTAL(3,$B$11:B37)))</f>
        <v>27</v>
      </c>
      <c r="B37" s="25" t="str">
        <f>IF(OR($C$6="",$J$6="",$M$6=""),"",IF(HKI!$B37="","",HKI!$B37))</f>
        <v>13D301Đ057</v>
      </c>
      <c r="C37" s="26" t="str">
        <f>IF(OR($C$6="",$J$6="",$M$6=""),"",IF(HKI!$C37="","",HKI!$C37))</f>
        <v>Trịnh Thanh</v>
      </c>
      <c r="D37" s="152" t="str">
        <f>IF(OR($C$6="",$J$6="",$M$6=""),"",IF(HKI!$D37="","",HKI!$D37))</f>
        <v>Hoàng</v>
      </c>
      <c r="E37" s="467"/>
      <c r="F37" s="469">
        <v>3</v>
      </c>
      <c r="G37" s="469">
        <v>7</v>
      </c>
      <c r="H37" s="468">
        <v>6</v>
      </c>
      <c r="I37" s="468">
        <v>5</v>
      </c>
      <c r="J37" s="462"/>
      <c r="K37" s="462"/>
      <c r="L37" s="462"/>
      <c r="M37" s="462"/>
      <c r="N37" s="462"/>
      <c r="O37" s="198">
        <f t="shared" si="0"/>
        <v>5.3</v>
      </c>
      <c r="P37" s="204" t="str">
        <f t="shared" si="1"/>
        <v>TB Yếu</v>
      </c>
    </row>
    <row r="38" spans="1:16" ht="18" customHeight="1">
      <c r="A38" s="123">
        <f>IF(OR($C$6="",$J$6="",$M$6=""),"",IF($B38="","",SUBTOTAL(3,$B$11:B38)))</f>
        <v>28</v>
      </c>
      <c r="B38" s="25" t="str">
        <f>IF(OR($C$6="",$J$6="",$M$6=""),"",IF(HKI!$B38="","",HKI!$B38))</f>
        <v>13D301Đ201</v>
      </c>
      <c r="C38" s="26" t="str">
        <f>IF(OR($C$6="",$J$6="",$M$6=""),"",IF(HKI!$C38="","",HKI!$C38))</f>
        <v>Nguyễn Quang</v>
      </c>
      <c r="D38" s="152" t="str">
        <f>IF(OR($C$6="",$J$6="",$M$6=""),"",IF(HKI!$D38="","",HKI!$D38))</f>
        <v>Huân</v>
      </c>
      <c r="E38" s="467"/>
      <c r="F38" s="469">
        <v>0</v>
      </c>
      <c r="G38" s="469">
        <v>0</v>
      </c>
      <c r="H38" s="468">
        <v>0</v>
      </c>
      <c r="I38" s="468">
        <v>0</v>
      </c>
      <c r="J38" s="462"/>
      <c r="K38" s="462"/>
      <c r="L38" s="462"/>
      <c r="M38" s="462"/>
      <c r="N38" s="462"/>
      <c r="O38" s="198">
        <f t="shared" si="0"/>
        <v>0</v>
      </c>
      <c r="P38" s="204" t="str">
        <f t="shared" si="1"/>
        <v>Kém</v>
      </c>
    </row>
    <row r="39" spans="1:16" ht="18" customHeight="1">
      <c r="A39" s="123">
        <f>IF(OR($C$6="",$J$6="",$M$6=""),"",IF($B39="","",SUBTOTAL(3,$B$11:B39)))</f>
        <v>29</v>
      </c>
      <c r="B39" s="25" t="str">
        <f>IF(OR($C$6="",$J$6="",$M$6=""),"",IF(HKI!$B39="","",HKI!$B39))</f>
        <v>13D301Đ061</v>
      </c>
      <c r="C39" s="26" t="str">
        <f>IF(OR($C$6="",$J$6="",$M$6=""),"",IF(HKI!$C39="","",HKI!$C39))</f>
        <v>Huỳnh Thanh</v>
      </c>
      <c r="D39" s="152" t="str">
        <f>IF(OR($C$6="",$J$6="",$M$6=""),"",IF(HKI!$D39="","",HKI!$D39))</f>
        <v>Hùng</v>
      </c>
      <c r="E39" s="467"/>
      <c r="F39" s="469">
        <v>6</v>
      </c>
      <c r="G39" s="469">
        <v>8</v>
      </c>
      <c r="H39" s="468">
        <v>5</v>
      </c>
      <c r="I39" s="468">
        <v>3</v>
      </c>
      <c r="J39" s="462"/>
      <c r="K39" s="462"/>
      <c r="L39" s="462"/>
      <c r="M39" s="462"/>
      <c r="N39" s="462"/>
      <c r="O39" s="198">
        <f t="shared" si="0"/>
        <v>5.5</v>
      </c>
      <c r="P39" s="204" t="str">
        <f t="shared" si="1"/>
        <v>T.Bình</v>
      </c>
    </row>
    <row r="40" spans="1:16" ht="18" customHeight="1">
      <c r="A40" s="123">
        <f>IF(OR($C$6="",$J$6="",$M$6=""),"",IF($B40="","",SUBTOTAL(3,$B$11:B40)))</f>
        <v>30</v>
      </c>
      <c r="B40" s="25" t="str">
        <f>IF(OR($C$6="",$J$6="",$M$6=""),"",IF(HKI!$B40="","",HKI!$B40))</f>
        <v>13D301Đ065</v>
      </c>
      <c r="C40" s="26" t="str">
        <f>IF(OR($C$6="",$J$6="",$M$6=""),"",IF(HKI!$C40="","",HKI!$C40))</f>
        <v>Đoàn Lê Xuân</v>
      </c>
      <c r="D40" s="152" t="str">
        <f>IF(OR($C$6="",$J$6="",$M$6=""),"",IF(HKI!$D40="","",HKI!$D40))</f>
        <v>Huy</v>
      </c>
      <c r="E40" s="467"/>
      <c r="F40" s="469">
        <v>9</v>
      </c>
      <c r="G40" s="469">
        <v>9</v>
      </c>
      <c r="H40" s="468">
        <v>9</v>
      </c>
      <c r="I40" s="468">
        <v>8</v>
      </c>
      <c r="J40" s="462"/>
      <c r="K40" s="462"/>
      <c r="L40" s="462"/>
      <c r="M40" s="462"/>
      <c r="N40" s="462"/>
      <c r="O40" s="198">
        <f t="shared" si="0"/>
        <v>8.8000000000000007</v>
      </c>
      <c r="P40" s="204" t="str">
        <f t="shared" si="1"/>
        <v>Giỏi</v>
      </c>
    </row>
    <row r="41" spans="1:16" ht="18" customHeight="1">
      <c r="A41" s="123">
        <f>IF(OR($C$6="",$J$6="",$M$6=""),"",IF($B41="","",SUBTOTAL(3,$B$11:B41)))</f>
        <v>31</v>
      </c>
      <c r="B41" s="25" t="str">
        <f>IF(OR($C$6="",$J$6="",$M$6=""),"",IF(HKI!$B41="","",HKI!$B41))</f>
        <v>13D301Đ073</v>
      </c>
      <c r="C41" s="26" t="str">
        <f>IF(OR($C$6="",$J$6="",$M$6=""),"",IF(HKI!$C41="","",HKI!$C41))</f>
        <v>Trịnh Đại</v>
      </c>
      <c r="D41" s="152" t="str">
        <f>IF(OR($C$6="",$J$6="",$M$6=""),"",IF(HKI!$D41="","",HKI!$D41))</f>
        <v>Lăng</v>
      </c>
      <c r="E41" s="467"/>
      <c r="F41" s="469">
        <v>3</v>
      </c>
      <c r="G41" s="469">
        <v>7</v>
      </c>
      <c r="H41" s="468">
        <v>7</v>
      </c>
      <c r="I41" s="468">
        <v>6</v>
      </c>
      <c r="J41" s="462"/>
      <c r="K41" s="462"/>
      <c r="L41" s="462"/>
      <c r="M41" s="462"/>
      <c r="N41" s="462"/>
      <c r="O41" s="198">
        <f t="shared" si="0"/>
        <v>5.8</v>
      </c>
      <c r="P41" s="204" t="str">
        <f t="shared" si="1"/>
        <v>T.Bình</v>
      </c>
    </row>
    <row r="42" spans="1:16" ht="18" customHeight="1">
      <c r="A42" s="123">
        <f>IF(OR($C$6="",$J$6="",$M$6=""),"",IF($B42="","",SUBTOTAL(3,$B$11:B42)))</f>
        <v>32</v>
      </c>
      <c r="B42" s="25" t="str">
        <f>IF(OR($C$6="",$J$6="",$M$6=""),"",IF(HKI!$B42="","",HKI!$B42))</f>
        <v>13D301Đ204</v>
      </c>
      <c r="C42" s="26" t="str">
        <f>IF(OR($C$6="",$J$6="",$M$6=""),"",IF(HKI!$C42="","",HKI!$C42))</f>
        <v>Nguyễn Khánh</v>
      </c>
      <c r="D42" s="152" t="str">
        <f>IF(OR($C$6="",$J$6="",$M$6=""),"",IF(HKI!$D42="","",HKI!$D42))</f>
        <v>Linh</v>
      </c>
      <c r="E42" s="467"/>
      <c r="F42" s="469">
        <v>3</v>
      </c>
      <c r="G42" s="469">
        <v>7</v>
      </c>
      <c r="H42" s="468">
        <v>7</v>
      </c>
      <c r="I42" s="468">
        <v>7</v>
      </c>
      <c r="J42" s="462"/>
      <c r="K42" s="462"/>
      <c r="L42" s="462"/>
      <c r="M42" s="462"/>
      <c r="N42" s="462"/>
      <c r="O42" s="198">
        <f t="shared" si="0"/>
        <v>6</v>
      </c>
      <c r="P42" s="204" t="str">
        <f t="shared" si="1"/>
        <v>T.Bình</v>
      </c>
    </row>
    <row r="43" spans="1:16" ht="18" customHeight="1">
      <c r="A43" s="123">
        <f>IF(OR($C$6="",$J$6="",$M$6=""),"",IF($B43="","",SUBTOTAL(3,$B$11:B43)))</f>
        <v>33</v>
      </c>
      <c r="B43" s="25" t="str">
        <f>IF(OR($C$6="",$J$6="",$M$6=""),"",IF(HKI!$B43="","",HKI!$B43))</f>
        <v>13D301Đ162</v>
      </c>
      <c r="C43" s="26" t="str">
        <f>IF(OR($C$6="",$J$6="",$M$6=""),"",IF(HKI!$C43="","",HKI!$C43))</f>
        <v>Đỗ Văn</v>
      </c>
      <c r="D43" s="152" t="str">
        <f>IF(OR($C$6="",$J$6="",$M$6=""),"",IF(HKI!$D43="","",HKI!$D43))</f>
        <v>Lượng</v>
      </c>
      <c r="E43" s="467"/>
      <c r="F43" s="469">
        <v>3</v>
      </c>
      <c r="G43" s="469">
        <v>9</v>
      </c>
      <c r="H43" s="468">
        <v>8</v>
      </c>
      <c r="I43" s="468">
        <v>6</v>
      </c>
      <c r="J43" s="462"/>
      <c r="K43" s="462"/>
      <c r="L43" s="462"/>
      <c r="M43" s="462"/>
      <c r="N43" s="462"/>
      <c r="O43" s="198">
        <f t="shared" si="0"/>
        <v>6.5</v>
      </c>
      <c r="P43" s="204" t="str">
        <f t="shared" si="1"/>
        <v>T.Bình</v>
      </c>
    </row>
    <row r="44" spans="1:16" ht="18" customHeight="1">
      <c r="A44" s="123">
        <f>IF(OR($C$6="",$J$6="",$M$6=""),"",IF($B44="","",SUBTOTAL(3,$B$11:B44)))</f>
        <v>34</v>
      </c>
      <c r="B44" s="25" t="str">
        <f>IF(OR($C$6="",$J$6="",$M$6=""),"",IF(HKI!$B44="","",HKI!$B44))</f>
        <v>13D301Đ081</v>
      </c>
      <c r="C44" s="26" t="str">
        <f>IF(OR($C$6="",$J$6="",$M$6=""),"",IF(HKI!$C44="","",HKI!$C44))</f>
        <v>Mai Đình</v>
      </c>
      <c r="D44" s="152" t="str">
        <f>IF(OR($C$6="",$J$6="",$M$6=""),"",IF(HKI!$D44="","",HKI!$D44))</f>
        <v>Luyện</v>
      </c>
      <c r="E44" s="467"/>
      <c r="F44" s="469">
        <v>9</v>
      </c>
      <c r="G44" s="469">
        <v>8</v>
      </c>
      <c r="H44" s="468">
        <v>6</v>
      </c>
      <c r="I44" s="468">
        <v>9</v>
      </c>
      <c r="J44" s="462"/>
      <c r="K44" s="462"/>
      <c r="L44" s="462"/>
      <c r="M44" s="462"/>
      <c r="N44" s="462"/>
      <c r="O44" s="198">
        <f t="shared" si="0"/>
        <v>8</v>
      </c>
      <c r="P44" s="204" t="str">
        <f t="shared" si="1"/>
        <v>Khá</v>
      </c>
    </row>
    <row r="45" spans="1:16" ht="18" customHeight="1">
      <c r="A45" s="123">
        <f>IF(OR($C$6="",$J$6="",$M$6=""),"",IF($B45="","",SUBTOTAL(3,$B$11:B45)))</f>
        <v>35</v>
      </c>
      <c r="B45" s="25" t="str">
        <f>IF(OR($C$6="",$J$6="",$M$6=""),"",IF(HKI!$B45="","",HKI!$B45))</f>
        <v>13D301Đ085</v>
      </c>
      <c r="C45" s="26" t="str">
        <f>IF(OR($C$6="",$J$6="",$M$6=""),"",IF(HKI!$C45="","",HKI!$C45))</f>
        <v>Võ Hoài</v>
      </c>
      <c r="D45" s="152" t="str">
        <f>IF(OR($C$6="",$J$6="",$M$6=""),"",IF(HKI!$D45="","",HKI!$D45))</f>
        <v>Nam</v>
      </c>
      <c r="E45" s="467"/>
      <c r="F45" s="469">
        <v>6</v>
      </c>
      <c r="G45" s="469">
        <v>7</v>
      </c>
      <c r="H45" s="468">
        <v>5</v>
      </c>
      <c r="I45" s="468">
        <v>7</v>
      </c>
      <c r="J45" s="462"/>
      <c r="K45" s="462"/>
      <c r="L45" s="462"/>
      <c r="M45" s="462"/>
      <c r="N45" s="462"/>
      <c r="O45" s="198">
        <f t="shared" si="0"/>
        <v>6.3</v>
      </c>
      <c r="P45" s="204" t="str">
        <f t="shared" si="1"/>
        <v>T.Bình</v>
      </c>
    </row>
    <row r="46" spans="1:16" ht="18" customHeight="1">
      <c r="A46" s="123">
        <f>IF(OR($C$6="",$J$6="",$M$6=""),"",IF($B46="","",SUBTOTAL(3,$B$11:B46)))</f>
        <v>36</v>
      </c>
      <c r="B46" s="25" t="str">
        <f>IF(OR($C$6="",$J$6="",$M$6=""),"",IF(HKI!$B46="","",HKI!$B46))</f>
        <v>13D301Đ089</v>
      </c>
      <c r="C46" s="26" t="str">
        <f>IF(OR($C$6="",$J$6="",$M$6=""),"",IF(HKI!$C46="","",HKI!$C46))</f>
        <v>Nguyễn Hữu</v>
      </c>
      <c r="D46" s="152" t="str">
        <f>IF(OR($C$6="",$J$6="",$M$6=""),"",IF(HKI!$D46="","",HKI!$D46))</f>
        <v>Nghĩa</v>
      </c>
      <c r="E46" s="467"/>
      <c r="F46" s="469">
        <v>9</v>
      </c>
      <c r="G46" s="469">
        <v>8</v>
      </c>
      <c r="H46" s="468">
        <v>5</v>
      </c>
      <c r="I46" s="468">
        <v>7</v>
      </c>
      <c r="J46" s="462"/>
      <c r="K46" s="462"/>
      <c r="L46" s="462"/>
      <c r="M46" s="462"/>
      <c r="N46" s="462"/>
      <c r="O46" s="198">
        <f t="shared" si="0"/>
        <v>7.3</v>
      </c>
      <c r="P46" s="204" t="str">
        <f t="shared" si="1"/>
        <v>Khá</v>
      </c>
    </row>
    <row r="47" spans="1:16" ht="18" customHeight="1">
      <c r="A47" s="123">
        <f>IF(OR($C$6="",$J$6="",$M$6=""),"",IF($B47="","",SUBTOTAL(3,$B$11:B47)))</f>
        <v>37</v>
      </c>
      <c r="B47" s="25" t="str">
        <f>IF(OR($C$6="",$J$6="",$M$6=""),"",IF(HKI!$B47="","",HKI!$B47))</f>
        <v>13D301Đ097</v>
      </c>
      <c r="C47" s="26" t="str">
        <f>IF(OR($C$6="",$J$6="",$M$6=""),"",IF(HKI!$C47="","",HKI!$C47))</f>
        <v>Nguyễn Thành</v>
      </c>
      <c r="D47" s="152" t="str">
        <f>IF(OR($C$6="",$J$6="",$M$6=""),"",IF(HKI!$D47="","",HKI!$D47))</f>
        <v>Phát</v>
      </c>
      <c r="E47" s="467"/>
      <c r="F47" s="469">
        <v>9</v>
      </c>
      <c r="G47" s="469">
        <v>9</v>
      </c>
      <c r="H47" s="468">
        <v>9</v>
      </c>
      <c r="I47" s="468">
        <v>8</v>
      </c>
      <c r="J47" s="462"/>
      <c r="K47" s="462"/>
      <c r="L47" s="462"/>
      <c r="M47" s="462"/>
      <c r="N47" s="462"/>
      <c r="O47" s="198">
        <f t="shared" si="0"/>
        <v>8.8000000000000007</v>
      </c>
      <c r="P47" s="204" t="str">
        <f t="shared" si="1"/>
        <v>Giỏi</v>
      </c>
    </row>
    <row r="48" spans="1:16" ht="18" customHeight="1">
      <c r="A48" s="123">
        <f>IF(OR($C$6="",$J$6="",$M$6=""),"",IF($B48="","",SUBTOTAL(3,$B$11:B48)))</f>
        <v>38</v>
      </c>
      <c r="B48" s="25" t="str">
        <f>IF(OR($C$6="",$J$6="",$M$6=""),"",IF(HKI!$B48="","",HKI!$B48))</f>
        <v>13D301Đ101</v>
      </c>
      <c r="C48" s="26" t="str">
        <f>IF(OR($C$6="",$J$6="",$M$6=""),"",IF(HKI!$C48="","",HKI!$C48))</f>
        <v>Huỳnh Thanh</v>
      </c>
      <c r="D48" s="152" t="str">
        <f>IF(OR($C$6="",$J$6="",$M$6=""),"",IF(HKI!$D48="","",HKI!$D48))</f>
        <v>Phú</v>
      </c>
      <c r="E48" s="467"/>
      <c r="F48" s="469">
        <v>0</v>
      </c>
      <c r="G48" s="469">
        <v>0</v>
      </c>
      <c r="H48" s="468">
        <v>0</v>
      </c>
      <c r="I48" s="468">
        <v>0</v>
      </c>
      <c r="J48" s="462"/>
      <c r="K48" s="462"/>
      <c r="L48" s="462"/>
      <c r="M48" s="462"/>
      <c r="N48" s="462"/>
      <c r="O48" s="198">
        <f t="shared" si="0"/>
        <v>0</v>
      </c>
      <c r="P48" s="204" t="str">
        <f t="shared" si="1"/>
        <v>Kém</v>
      </c>
    </row>
    <row r="49" spans="1:16" ht="18" customHeight="1">
      <c r="A49" s="123">
        <f>IF(OR($C$6="",$J$6="",$M$6=""),"",IF($B49="","",SUBTOTAL(3,$B$11:B49)))</f>
        <v>39</v>
      </c>
      <c r="B49" s="25" t="str">
        <f>IF(OR($C$6="",$J$6="",$M$6=""),"",IF(HKI!$B49="","",HKI!$B49))</f>
        <v>13D301Đ117</v>
      </c>
      <c r="C49" s="26" t="str">
        <f>IF(OR($C$6="",$J$6="",$M$6=""),"",IF(HKI!$C49="","",HKI!$C49))</f>
        <v>Trịnh Ngọc</v>
      </c>
      <c r="D49" s="152" t="str">
        <f>IF(OR($C$6="",$J$6="",$M$6=""),"",IF(HKI!$D49="","",HKI!$D49))</f>
        <v>Sơn</v>
      </c>
      <c r="E49" s="467"/>
      <c r="F49" s="469">
        <v>0</v>
      </c>
      <c r="G49" s="469">
        <v>0</v>
      </c>
      <c r="H49" s="468">
        <v>0</v>
      </c>
      <c r="I49" s="468">
        <v>0</v>
      </c>
      <c r="J49" s="462"/>
      <c r="K49" s="462"/>
      <c r="L49" s="462"/>
      <c r="M49" s="462"/>
      <c r="N49" s="462"/>
      <c r="O49" s="198">
        <f t="shared" si="0"/>
        <v>0</v>
      </c>
      <c r="P49" s="204" t="str">
        <f t="shared" si="1"/>
        <v>Kém</v>
      </c>
    </row>
    <row r="50" spans="1:16" ht="18" customHeight="1">
      <c r="A50" s="123">
        <f>IF(OR($C$6="",$J$6="",$M$6=""),"",IF($B50="","",SUBTOTAL(3,$B$11:B50)))</f>
        <v>40</v>
      </c>
      <c r="B50" s="25" t="str">
        <f>IF(OR($C$6="",$J$6="",$M$6=""),"",IF(HKI!$B50="","",HKI!$B50))</f>
        <v>13D301Đ121</v>
      </c>
      <c r="C50" s="26" t="str">
        <f>IF(OR($C$6="",$J$6="",$M$6=""),"",IF(HKI!$C50="","",HKI!$C50))</f>
        <v>Lê Minh</v>
      </c>
      <c r="D50" s="152" t="str">
        <f>IF(OR($C$6="",$J$6="",$M$6=""),"",IF(HKI!$D50="","",HKI!$D50))</f>
        <v>Tâm</v>
      </c>
      <c r="E50" s="467"/>
      <c r="F50" s="469">
        <v>8</v>
      </c>
      <c r="G50" s="469">
        <v>8</v>
      </c>
      <c r="H50" s="468">
        <v>5</v>
      </c>
      <c r="I50" s="468">
        <v>7</v>
      </c>
      <c r="J50" s="462"/>
      <c r="K50" s="462"/>
      <c r="L50" s="462"/>
      <c r="M50" s="462"/>
      <c r="N50" s="462"/>
      <c r="O50" s="198">
        <f t="shared" si="0"/>
        <v>7</v>
      </c>
      <c r="P50" s="204" t="str">
        <f t="shared" si="1"/>
        <v>Khá</v>
      </c>
    </row>
    <row r="51" spans="1:16" ht="18" customHeight="1">
      <c r="A51" s="123">
        <f>IF(OR($C$6="",$J$6="",$M$6=""),"",IF($B51="","",SUBTOTAL(3,$B$11:B51)))</f>
        <v>41</v>
      </c>
      <c r="B51" s="25" t="str">
        <f>IF(OR($C$6="",$J$6="",$M$6=""),"",IF(HKI!$B51="","",HKI!$B51))</f>
        <v>13D301Đ124</v>
      </c>
      <c r="C51" s="26" t="str">
        <f>IF(OR($C$6="",$J$6="",$M$6=""),"",IF(HKI!$C51="","",HKI!$C51))</f>
        <v>Cao Nguyễn Nhật</v>
      </c>
      <c r="D51" s="152" t="str">
        <f>IF(OR($C$6="",$J$6="",$M$6=""),"",IF(HKI!$D51="","",HKI!$D51))</f>
        <v>Tân</v>
      </c>
      <c r="E51" s="467"/>
      <c r="F51" s="469">
        <v>8</v>
      </c>
      <c r="G51" s="469">
        <v>8</v>
      </c>
      <c r="H51" s="468">
        <v>7</v>
      </c>
      <c r="I51" s="468">
        <v>7</v>
      </c>
      <c r="J51" s="462"/>
      <c r="K51" s="462"/>
      <c r="L51" s="462"/>
      <c r="M51" s="462"/>
      <c r="N51" s="462"/>
      <c r="O51" s="198">
        <f t="shared" si="0"/>
        <v>7.5</v>
      </c>
      <c r="P51" s="204" t="str">
        <f t="shared" si="1"/>
        <v>Khá</v>
      </c>
    </row>
    <row r="52" spans="1:16" ht="18" customHeight="1">
      <c r="A52" s="123">
        <f>IF(OR($C$6="",$J$6="",$M$6=""),"",IF($B52="","",SUBTOTAL(3,$B$11:B52)))</f>
        <v>42</v>
      </c>
      <c r="B52" s="25" t="str">
        <f>IF(OR($C$6="",$J$6="",$M$6=""),"",IF(HKI!$B52="","",HKI!$B52))</f>
        <v>13D301Đ130</v>
      </c>
      <c r="C52" s="26" t="str">
        <f>IF(OR($C$6="",$J$6="",$M$6=""),"",IF(HKI!$C52="","",HKI!$C52))</f>
        <v>Nguyễn Việt</v>
      </c>
      <c r="D52" s="152" t="str">
        <f>IF(OR($C$6="",$J$6="",$M$6=""),"",IF(HKI!$D52="","",HKI!$D52))</f>
        <v>Thắng</v>
      </c>
      <c r="E52" s="467"/>
      <c r="F52" s="469">
        <v>7</v>
      </c>
      <c r="G52" s="469">
        <v>8</v>
      </c>
      <c r="H52" s="468">
        <v>5</v>
      </c>
      <c r="I52" s="468">
        <v>5</v>
      </c>
      <c r="J52" s="462"/>
      <c r="K52" s="462"/>
      <c r="L52" s="462"/>
      <c r="M52" s="462"/>
      <c r="N52" s="462"/>
      <c r="O52" s="198">
        <f t="shared" si="0"/>
        <v>6.3</v>
      </c>
      <c r="P52" s="204" t="str">
        <f t="shared" si="1"/>
        <v>T.Bình</v>
      </c>
    </row>
    <row r="53" spans="1:16" ht="18" customHeight="1">
      <c r="A53" s="123">
        <f>IF(OR($C$6="",$J$6="",$M$6=""),"",IF($B53="","",SUBTOTAL(3,$B$11:B53)))</f>
        <v>43</v>
      </c>
      <c r="B53" s="25" t="str">
        <f>IF(OR($C$6="",$J$6="",$M$6=""),"",IF(HKI!$B53="","",HKI!$B53))</f>
        <v>13D301Đ136</v>
      </c>
      <c r="C53" s="26" t="str">
        <f>IF(OR($C$6="",$J$6="",$M$6=""),"",IF(HKI!$C53="","",HKI!$C53))</f>
        <v>Trần Minh</v>
      </c>
      <c r="D53" s="152" t="str">
        <f>IF(OR($C$6="",$J$6="",$M$6=""),"",IF(HKI!$D53="","",HKI!$D53))</f>
        <v>Thanh</v>
      </c>
      <c r="E53" s="467"/>
      <c r="F53" s="469">
        <v>9</v>
      </c>
      <c r="G53" s="469">
        <v>10</v>
      </c>
      <c r="H53" s="468">
        <v>9</v>
      </c>
      <c r="I53" s="468">
        <v>8</v>
      </c>
      <c r="J53" s="462"/>
      <c r="K53" s="462"/>
      <c r="L53" s="462"/>
      <c r="M53" s="462"/>
      <c r="N53" s="462"/>
      <c r="O53" s="198">
        <f t="shared" si="0"/>
        <v>9</v>
      </c>
      <c r="P53" s="204" t="str">
        <f t="shared" si="1"/>
        <v>Giỏi</v>
      </c>
    </row>
    <row r="54" spans="1:16" ht="18" customHeight="1">
      <c r="A54" s="123">
        <f>IF(OR($C$6="",$J$6="",$M$6=""),"",IF($B54="","",SUBTOTAL(3,$B$11:B54)))</f>
        <v>44</v>
      </c>
      <c r="B54" s="25" t="str">
        <f>IF(OR($C$6="",$J$6="",$M$6=""),"",IF(HKI!$B54="","",HKI!$B54))</f>
        <v>13D301Đ133</v>
      </c>
      <c r="C54" s="26" t="str">
        <f>IF(OR($C$6="",$J$6="",$M$6=""),"",IF(HKI!$C54="","",HKI!$C54))</f>
        <v>Nguyễn Khắc</v>
      </c>
      <c r="D54" s="152" t="str">
        <f>IF(OR($C$6="",$J$6="",$M$6=""),"",IF(HKI!$D54="","",HKI!$D54))</f>
        <v>Thành</v>
      </c>
      <c r="E54" s="467"/>
      <c r="F54" s="469">
        <v>4</v>
      </c>
      <c r="G54" s="469">
        <v>8</v>
      </c>
      <c r="H54" s="468">
        <v>6</v>
      </c>
      <c r="I54" s="468">
        <v>3</v>
      </c>
      <c r="J54" s="462"/>
      <c r="K54" s="462"/>
      <c r="L54" s="462"/>
      <c r="M54" s="462"/>
      <c r="N54" s="462"/>
      <c r="O54" s="198">
        <f t="shared" si="0"/>
        <v>5.3</v>
      </c>
      <c r="P54" s="204" t="str">
        <f t="shared" si="1"/>
        <v>TB Yếu</v>
      </c>
    </row>
    <row r="55" spans="1:16" ht="18" customHeight="1">
      <c r="A55" s="123">
        <f>IF(OR($C$6="",$J$6="",$M$6=""),"",IF($B55="","",SUBTOTAL(3,$B$11:B55)))</f>
        <v>45</v>
      </c>
      <c r="B55" s="25" t="str">
        <f>IF(OR($C$6="",$J$6="",$M$6=""),"",IF(HKI!$B55="","",HKI!$B55))</f>
        <v>13D301Đ169</v>
      </c>
      <c r="C55" s="26" t="str">
        <f>IF(OR($C$6="",$J$6="",$M$6=""),"",IF(HKI!$C55="","",HKI!$C55))</f>
        <v>Nguyễn Thanh</v>
      </c>
      <c r="D55" s="152" t="str">
        <f>IF(OR($C$6="",$J$6="",$M$6=""),"",IF(HKI!$D55="","",HKI!$D55))</f>
        <v>Thảo</v>
      </c>
      <c r="E55" s="467"/>
      <c r="F55" s="469">
        <v>3</v>
      </c>
      <c r="G55" s="469">
        <v>7</v>
      </c>
      <c r="H55" s="468">
        <v>5</v>
      </c>
      <c r="I55" s="468">
        <v>8</v>
      </c>
      <c r="J55" s="462"/>
      <c r="K55" s="462"/>
      <c r="L55" s="462"/>
      <c r="M55" s="462"/>
      <c r="N55" s="462"/>
      <c r="O55" s="198">
        <f t="shared" si="0"/>
        <v>5.8</v>
      </c>
      <c r="P55" s="204" t="str">
        <f t="shared" si="1"/>
        <v>T.Bình</v>
      </c>
    </row>
    <row r="56" spans="1:16" ht="18" customHeight="1">
      <c r="A56" s="123">
        <f>IF(OR($C$6="",$J$6="",$M$6=""),"",IF($B56="","",SUBTOTAL(3,$B$11:B56)))</f>
        <v>46</v>
      </c>
      <c r="B56" s="25" t="str">
        <f>IF(OR($C$6="",$J$6="",$M$6=""),"",IF(HKI!$B56="","",HKI!$B56))</f>
        <v>13D301Đ154</v>
      </c>
      <c r="C56" s="26" t="str">
        <f>IF(OR($C$6="",$J$6="",$M$6=""),"",IF(HKI!$C56="","",HKI!$C56))</f>
        <v>Võ Đức</v>
      </c>
      <c r="D56" s="152" t="str">
        <f>IF(OR($C$6="",$J$6="",$M$6=""),"",IF(HKI!$D56="","",HKI!$D56))</f>
        <v>Trí</v>
      </c>
      <c r="E56" s="467"/>
      <c r="F56" s="469">
        <v>3</v>
      </c>
      <c r="G56" s="469">
        <v>8</v>
      </c>
      <c r="H56" s="468">
        <v>6</v>
      </c>
      <c r="I56" s="468">
        <v>7</v>
      </c>
      <c r="J56" s="462"/>
      <c r="K56" s="462"/>
      <c r="L56" s="462"/>
      <c r="M56" s="462"/>
      <c r="N56" s="462"/>
      <c r="O56" s="198">
        <f t="shared" si="0"/>
        <v>6</v>
      </c>
      <c r="P56" s="204" t="str">
        <f t="shared" si="1"/>
        <v>T.Bình</v>
      </c>
    </row>
    <row r="57" spans="1:16" s="148" customFormat="1" ht="18" customHeight="1">
      <c r="A57" s="123">
        <f>IF(OR($C$6="",$J$6="",$M$6=""),"",IF($B57="","",SUBTOTAL(3,$B$11:B57)))</f>
        <v>47</v>
      </c>
      <c r="B57" s="25" t="str">
        <f>IF(OR($C$6="",$J$6="",$M$6=""),"",IF(HKI!$B57="","",HKI!$B57))</f>
        <v>13D301Đ160</v>
      </c>
      <c r="C57" s="26" t="str">
        <f>IF(OR($C$6="",$J$6="",$M$6=""),"",IF(HKI!$C57="","",HKI!$C57))</f>
        <v>Nguyễn Bá</v>
      </c>
      <c r="D57" s="152" t="str">
        <f>IF(OR($C$6="",$J$6="",$M$6=""),"",IF(HKI!$D57="","",HKI!$D57))</f>
        <v>Trung</v>
      </c>
      <c r="E57" s="467"/>
      <c r="F57" s="469">
        <v>6</v>
      </c>
      <c r="G57" s="469">
        <v>7</v>
      </c>
      <c r="H57" s="468">
        <v>5</v>
      </c>
      <c r="I57" s="468">
        <v>7</v>
      </c>
      <c r="J57" s="462"/>
      <c r="K57" s="462"/>
      <c r="L57" s="462"/>
      <c r="M57" s="462"/>
      <c r="N57" s="462"/>
      <c r="O57" s="198">
        <f t="shared" si="0"/>
        <v>6.3</v>
      </c>
      <c r="P57" s="204" t="str">
        <f t="shared" si="1"/>
        <v>T.Bình</v>
      </c>
    </row>
    <row r="58" spans="1:16" s="148" customFormat="1" ht="18" customHeight="1">
      <c r="A58" s="123">
        <f>IF(OR($C$6="",$J$6="",$M$6=""),"",IF($B58="","",SUBTOTAL(3,$B$11:B58)))</f>
        <v>48</v>
      </c>
      <c r="B58" s="25" t="str">
        <f>IF(OR($C$6="",$J$6="",$M$6=""),"",IF(HKI!$B58="","",HKI!$B58))</f>
        <v>13D301Đ163</v>
      </c>
      <c r="C58" s="26" t="str">
        <f>IF(OR($C$6="",$J$6="",$M$6=""),"",IF(HKI!$C58="","",HKI!$C58))</f>
        <v>Mai Ngọc</v>
      </c>
      <c r="D58" s="152" t="str">
        <f>IF(OR($C$6="",$J$6="",$M$6=""),"",IF(HKI!$D58="","",HKI!$D58))</f>
        <v>Trước</v>
      </c>
      <c r="E58" s="467"/>
      <c r="F58" s="469">
        <v>9</v>
      </c>
      <c r="G58" s="469">
        <v>10</v>
      </c>
      <c r="H58" s="468">
        <v>5</v>
      </c>
      <c r="I58" s="468">
        <v>7</v>
      </c>
      <c r="J58" s="462"/>
      <c r="K58" s="462"/>
      <c r="L58" s="462"/>
      <c r="M58" s="462"/>
      <c r="N58" s="462"/>
      <c r="O58" s="198">
        <f t="shared" si="0"/>
        <v>7.8</v>
      </c>
      <c r="P58" s="204" t="str">
        <f t="shared" si="1"/>
        <v>Khá</v>
      </c>
    </row>
    <row r="59" spans="1:16" ht="18" customHeight="1">
      <c r="A59" s="123">
        <f>IF(OR($C$6="",$J$6="",$M$6=""),"",IF($B59="","",SUBTOTAL(3,$B$11:B59)))</f>
        <v>49</v>
      </c>
      <c r="B59" s="25" t="str">
        <f>IF(OR($C$6="",$J$6="",$M$6=""),"",IF(HKI!$B59="","",HKI!$B59))</f>
        <v>13D301Đ166</v>
      </c>
      <c r="C59" s="26" t="str">
        <f>IF(OR($C$6="",$J$6="",$M$6=""),"",IF(HKI!$C59="","",HKI!$C59))</f>
        <v>Nguyễn Văn</v>
      </c>
      <c r="D59" s="152" t="str">
        <f>IF(OR($C$6="",$J$6="",$M$6=""),"",IF(HKI!$D59="","",HKI!$D59))</f>
        <v>Tư</v>
      </c>
      <c r="E59" s="467"/>
      <c r="F59" s="469">
        <v>0</v>
      </c>
      <c r="G59" s="469">
        <v>0</v>
      </c>
      <c r="H59" s="468">
        <v>0</v>
      </c>
      <c r="I59" s="468">
        <v>0</v>
      </c>
      <c r="J59" s="462"/>
      <c r="K59" s="462"/>
      <c r="L59" s="462"/>
      <c r="M59" s="462"/>
      <c r="N59" s="462"/>
      <c r="O59" s="198">
        <f t="shared" si="0"/>
        <v>0</v>
      </c>
      <c r="P59" s="204" t="str">
        <f t="shared" si="1"/>
        <v>Kém</v>
      </c>
    </row>
    <row r="60" spans="1:16" ht="18" customHeight="1">
      <c r="A60" s="123">
        <f>IF(OR($C$6="",$J$6="",$M$6=""),"",IF($B60="","",SUBTOTAL(3,$B$11:B60)))</f>
        <v>50</v>
      </c>
      <c r="B60" s="25" t="str">
        <f>IF(OR($C$6="",$J$6="",$M$6=""),"",IF(HKI!$B60="","",HKI!$B60))</f>
        <v>13D301Đ178</v>
      </c>
      <c r="C60" s="26" t="str">
        <f>IF(OR($C$6="",$J$6="",$M$6=""),"",IF(HKI!$C60="","",HKI!$C60))</f>
        <v>Lê Văn</v>
      </c>
      <c r="D60" s="152" t="str">
        <f>IF(OR($C$6="",$J$6="",$M$6=""),"",IF(HKI!$D60="","",HKI!$D60))</f>
        <v>Vũ</v>
      </c>
      <c r="E60" s="467"/>
      <c r="F60" s="469">
        <v>5</v>
      </c>
      <c r="G60" s="469">
        <v>0</v>
      </c>
      <c r="H60" s="468">
        <v>0</v>
      </c>
      <c r="I60" s="468">
        <v>0</v>
      </c>
      <c r="J60" s="462"/>
      <c r="K60" s="462"/>
      <c r="L60" s="462"/>
      <c r="M60" s="462"/>
      <c r="N60" s="462"/>
      <c r="O60" s="198">
        <f t="shared" si="0"/>
        <v>1.3</v>
      </c>
      <c r="P60" s="204" t="str">
        <f t="shared" si="1"/>
        <v>Kém</v>
      </c>
    </row>
    <row r="61" spans="1:16" ht="18" customHeight="1">
      <c r="A61" s="123" t="str">
        <f>IF(OR($C$6="",$J$6="",$M$6=""),"",IF($B61="","",SUBTOTAL(3,$B$11:B61)))</f>
        <v/>
      </c>
      <c r="B61" s="25" t="str">
        <f>IF(OR($C$6="",$J$6="",$M$6=""),"",IF(HKI!$B61="","",HKI!$B61))</f>
        <v/>
      </c>
      <c r="C61" s="26" t="str">
        <f>IF(OR($C$6="",$J$6="",$M$6=""),"",IF(HKI!$C61="","",HKI!$C61))</f>
        <v/>
      </c>
      <c r="D61" s="152" t="str">
        <f>IF(OR($C$6="",$J$6="",$M$6=""),"",IF(HKI!$D61="","",HKI!$D61))</f>
        <v/>
      </c>
      <c r="E61" s="44"/>
      <c r="F61" s="208"/>
      <c r="G61" s="143"/>
      <c r="H61" s="143"/>
      <c r="I61" s="211"/>
      <c r="J61" s="211"/>
      <c r="K61" s="211"/>
      <c r="L61" s="45"/>
      <c r="M61" s="45"/>
      <c r="N61" s="45"/>
      <c r="O61" s="198" t="str">
        <f t="shared" si="0"/>
        <v/>
      </c>
      <c r="P61" s="204" t="str">
        <f t="shared" si="1"/>
        <v/>
      </c>
    </row>
    <row r="62" spans="1:16" ht="18" customHeight="1">
      <c r="A62" s="123" t="str">
        <f>IF(OR($C$6="",$J$6="",$M$6=""),"",IF($B62="","",SUBTOTAL(3,$B$11:B62)))</f>
        <v/>
      </c>
      <c r="B62" s="25" t="str">
        <f>IF(OR($C$6="",$J$6="",$M$6=""),"",IF(HKI!$B62="","",HKI!$B62))</f>
        <v/>
      </c>
      <c r="C62" s="26" t="str">
        <f>IF(OR($C$6="",$J$6="",$M$6=""),"",IF(HKI!$C62="","",HKI!$C62))</f>
        <v/>
      </c>
      <c r="D62" s="152" t="str">
        <f>IF(OR($C$6="",$J$6="",$M$6=""),"",IF(HKI!$D62="","",HKI!$D62))</f>
        <v/>
      </c>
      <c r="E62" s="44"/>
      <c r="F62" s="208"/>
      <c r="G62" s="143"/>
      <c r="H62" s="143"/>
      <c r="I62" s="211"/>
      <c r="J62" s="211"/>
      <c r="K62" s="211"/>
      <c r="L62" s="45"/>
      <c r="M62" s="45"/>
      <c r="N62" s="45"/>
      <c r="O62" s="198" t="str">
        <f t="shared" si="0"/>
        <v/>
      </c>
      <c r="P62" s="204" t="str">
        <f t="shared" si="1"/>
        <v/>
      </c>
    </row>
    <row r="63" spans="1:16" ht="18" customHeight="1">
      <c r="A63" s="123" t="str">
        <f>IF(OR($C$6="",$J$6="",$M$6=""),"",IF($B63="","",SUBTOTAL(3,$B$11:B63)))</f>
        <v/>
      </c>
      <c r="B63" s="25" t="str">
        <f>IF(OR($C$6="",$J$6="",$M$6=""),"",IF(HKI!$B63="","",HKI!$B63))</f>
        <v/>
      </c>
      <c r="C63" s="26" t="str">
        <f>IF(OR($C$6="",$J$6="",$M$6=""),"",IF(HKI!$C63="","",HKI!$C63))</f>
        <v/>
      </c>
      <c r="D63" s="152" t="str">
        <f>IF(OR($C$6="",$J$6="",$M$6=""),"",IF(HKI!$D63="","",HKI!$D63))</f>
        <v/>
      </c>
      <c r="E63" s="44"/>
      <c r="F63" s="208"/>
      <c r="G63" s="143"/>
      <c r="H63" s="143"/>
      <c r="I63" s="45"/>
      <c r="J63" s="45"/>
      <c r="K63" s="45"/>
      <c r="L63" s="45"/>
      <c r="M63" s="45"/>
      <c r="N63" s="45"/>
      <c r="O63" s="198" t="str">
        <f t="shared" si="0"/>
        <v/>
      </c>
      <c r="P63" s="204" t="str">
        <f t="shared" si="1"/>
        <v/>
      </c>
    </row>
    <row r="64" spans="1:16" ht="18" customHeight="1">
      <c r="A64" s="123" t="str">
        <f>IF(OR($C$6="",$J$6="",$M$6=""),"",IF($B64="","",SUBTOTAL(3,$B$11:B64)))</f>
        <v/>
      </c>
      <c r="B64" s="25" t="str">
        <f>IF(OR($C$6="",$J$6="",$M$6=""),"",IF(HKI!$B64="","",HKI!$B64))</f>
        <v/>
      </c>
      <c r="C64" s="26" t="str">
        <f>IF(OR($C$6="",$J$6="",$M$6=""),"",IF(HKI!$C64="","",HKI!$C64))</f>
        <v/>
      </c>
      <c r="D64" s="152" t="str">
        <f>IF(OR($C$6="",$J$6="",$M$6=""),"",IF(HKI!$D64="","",HKI!$D64))</f>
        <v/>
      </c>
      <c r="E64" s="44"/>
      <c r="F64" s="208"/>
      <c r="G64" s="143"/>
      <c r="H64" s="143"/>
      <c r="I64" s="45"/>
      <c r="J64" s="45"/>
      <c r="K64" s="44"/>
      <c r="L64" s="45"/>
      <c r="M64" s="45"/>
      <c r="N64" s="45"/>
      <c r="O64" s="198" t="str">
        <f t="shared" si="0"/>
        <v/>
      </c>
      <c r="P64" s="204" t="str">
        <f t="shared" si="1"/>
        <v/>
      </c>
    </row>
    <row r="65" spans="1:16" ht="18" customHeight="1">
      <c r="A65" s="123" t="str">
        <f>IF(OR($C$6="",$J$6="",$M$6=""),"",IF($B65="","",SUBTOTAL(3,$B$11:B65)))</f>
        <v/>
      </c>
      <c r="B65" s="25" t="str">
        <f>IF(OR($C$6="",$J$6="",$M$6=""),"",IF(HKI!$B65="","",HKI!$B65))</f>
        <v/>
      </c>
      <c r="C65" s="26" t="str">
        <f>IF(OR($C$6="",$J$6="",$M$6=""),"",IF(HKI!$C65="","",HKI!$C65))</f>
        <v/>
      </c>
      <c r="D65" s="152" t="str">
        <f>IF(OR($C$6="",$J$6="",$M$6=""),"",IF(HKI!$D65="","",HKI!$D65))</f>
        <v/>
      </c>
      <c r="E65" s="44"/>
      <c r="F65" s="208"/>
      <c r="G65" s="143"/>
      <c r="H65" s="143"/>
      <c r="I65" s="45"/>
      <c r="J65" s="45"/>
      <c r="K65" s="44"/>
      <c r="L65" s="45"/>
      <c r="M65" s="45"/>
      <c r="N65" s="45"/>
      <c r="O65" s="198" t="str">
        <f t="shared" si="0"/>
        <v/>
      </c>
      <c r="P65" s="204" t="str">
        <f t="shared" si="1"/>
        <v/>
      </c>
    </row>
    <row r="66" spans="1:16" ht="18" customHeight="1">
      <c r="A66" s="123" t="str">
        <f>IF(OR($C$6="",$J$6="",$M$6=""),"",IF($B66="","",SUBTOTAL(3,$B$11:B66)))</f>
        <v/>
      </c>
      <c r="B66" s="25" t="str">
        <f>IF(OR($C$6="",$J$6="",$M$6=""),"",IF(HKI!$B66="","",HKI!$B66))</f>
        <v/>
      </c>
      <c r="C66" s="26" t="str">
        <f>IF(OR($C$6="",$J$6="",$M$6=""),"",IF(HKI!$C66="","",HKI!$C66))</f>
        <v/>
      </c>
      <c r="D66" s="152" t="str">
        <f>IF(OR($C$6="",$J$6="",$M$6=""),"",IF(HKI!$D66="","",HKI!$D66))</f>
        <v/>
      </c>
      <c r="E66" s="44"/>
      <c r="F66" s="212"/>
      <c r="G66" s="212"/>
      <c r="H66" s="212"/>
      <c r="I66" s="45"/>
      <c r="J66" s="45"/>
      <c r="K66" s="44"/>
      <c r="L66" s="45"/>
      <c r="M66" s="45"/>
      <c r="N66" s="45"/>
      <c r="O66" s="198" t="str">
        <f t="shared" si="0"/>
        <v/>
      </c>
      <c r="P66" s="204" t="str">
        <f t="shared" si="1"/>
        <v/>
      </c>
    </row>
    <row r="67" spans="1:16" ht="18" customHeight="1">
      <c r="A67" s="123" t="str">
        <f>IF(OR($C$6="",$J$6="",$M$6=""),"",IF($B67="","",SUBTOTAL(3,$B$11:B67)))</f>
        <v/>
      </c>
      <c r="B67" s="25" t="str">
        <f>IF(OR($C$6="",$J$6="",$M$6=""),"",IF(HKI!$B67="","",HKI!$B67))</f>
        <v/>
      </c>
      <c r="C67" s="26" t="str">
        <f>IF(OR($C$6="",$J$6="",$M$6=""),"",IF(HKI!$C67="","",HKI!$C67))</f>
        <v/>
      </c>
      <c r="D67" s="152" t="str">
        <f>IF(OR($C$6="",$J$6="",$M$6=""),"",IF(HKI!$D67="","",HKI!$D67))</f>
        <v/>
      </c>
      <c r="E67" s="44"/>
      <c r="F67" s="212"/>
      <c r="G67" s="212"/>
      <c r="H67" s="212"/>
      <c r="I67" s="45"/>
      <c r="J67" s="45"/>
      <c r="K67" s="44"/>
      <c r="L67" s="45"/>
      <c r="M67" s="45"/>
      <c r="N67" s="45"/>
      <c r="O67" s="198" t="str">
        <f t="shared" si="0"/>
        <v/>
      </c>
      <c r="P67" s="204" t="str">
        <f t="shared" si="1"/>
        <v/>
      </c>
    </row>
    <row r="68" spans="1:16" ht="18" customHeight="1">
      <c r="A68" s="123" t="str">
        <f>IF(OR($C$6="",$J$6="",$M$6=""),"",IF($B68="","",SUBTOTAL(3,$B$11:B68)))</f>
        <v/>
      </c>
      <c r="B68" s="25" t="str">
        <f>IF(OR($C$6="",$J$6="",$M$6=""),"",IF(HKI!$B68="","",HKI!$B68))</f>
        <v/>
      </c>
      <c r="C68" s="26" t="str">
        <f>IF(OR($C$6="",$J$6="",$M$6=""),"",IF(HKI!$C68="","",HKI!$C68))</f>
        <v/>
      </c>
      <c r="D68" s="152" t="str">
        <f>IF(OR($C$6="",$J$6="",$M$6=""),"",IF(HKI!$D68="","",HKI!$D68))</f>
        <v/>
      </c>
      <c r="E68" s="44"/>
      <c r="F68" s="44"/>
      <c r="G68" s="45"/>
      <c r="H68" s="45"/>
      <c r="I68" s="45"/>
      <c r="J68" s="45"/>
      <c r="K68" s="44"/>
      <c r="L68" s="45"/>
      <c r="M68" s="45"/>
      <c r="N68" s="45"/>
      <c r="O68" s="198" t="str">
        <f t="shared" si="0"/>
        <v/>
      </c>
      <c r="P68" s="204" t="str">
        <f t="shared" si="1"/>
        <v/>
      </c>
    </row>
    <row r="69" spans="1:16" ht="18" customHeight="1">
      <c r="A69" s="123" t="str">
        <f>IF(OR($C$6="",$J$6="",$M$6=""),"",IF($B69="","",SUBTOTAL(3,$B$11:B69)))</f>
        <v/>
      </c>
      <c r="B69" s="25" t="str">
        <f>IF(OR($C$6="",$J$6="",$M$6=""),"",IF(HKI!$B69="","",HKI!$B69))</f>
        <v/>
      </c>
      <c r="C69" s="26" t="str">
        <f>IF(OR($C$6="",$J$6="",$M$6=""),"",IF(HKI!$C69="","",HKI!$C69))</f>
        <v/>
      </c>
      <c r="D69" s="152" t="str">
        <f>IF(OR($C$6="",$J$6="",$M$6=""),"",IF(HKI!$D69="","",HKI!$D69))</f>
        <v/>
      </c>
      <c r="E69" s="44"/>
      <c r="F69" s="44"/>
      <c r="G69" s="45"/>
      <c r="H69" s="45"/>
      <c r="I69" s="45"/>
      <c r="J69" s="45"/>
      <c r="K69" s="44"/>
      <c r="L69" s="45"/>
      <c r="M69" s="45"/>
      <c r="N69" s="45"/>
      <c r="O69" s="198" t="str">
        <f t="shared" si="0"/>
        <v/>
      </c>
      <c r="P69" s="204" t="str">
        <f t="shared" si="1"/>
        <v/>
      </c>
    </row>
    <row r="70" spans="1:16" ht="18" customHeight="1">
      <c r="A70" s="123" t="str">
        <f>IF(OR($C$6="",$J$6="",$M$6=""),"",IF($B70="","",SUBTOTAL(3,$B$11:B70)))</f>
        <v/>
      </c>
      <c r="B70" s="25" t="str">
        <f>IF(OR($C$6="",$J$6="",$M$6=""),"",IF(HKI!$B70="","",HKI!$B70))</f>
        <v/>
      </c>
      <c r="C70" s="26" t="str">
        <f>IF(OR($C$6="",$J$6="",$M$6=""),"",IF(HKI!$C70="","",HKI!$C70))</f>
        <v/>
      </c>
      <c r="D70" s="152" t="str">
        <f>IF(OR($C$6="",$J$6="",$M$6=""),"",IF(HKI!$D70="","",HKI!$D70))</f>
        <v/>
      </c>
      <c r="E70" s="44"/>
      <c r="F70" s="44"/>
      <c r="G70" s="45"/>
      <c r="H70" s="45"/>
      <c r="I70" s="45"/>
      <c r="J70" s="45"/>
      <c r="K70" s="44"/>
      <c r="L70" s="45"/>
      <c r="M70" s="45"/>
      <c r="N70" s="45"/>
      <c r="O70" s="198" t="str">
        <f t="shared" si="0"/>
        <v/>
      </c>
      <c r="P70" s="204" t="str">
        <f t="shared" si="1"/>
        <v/>
      </c>
    </row>
    <row r="71" spans="1:16" ht="18" customHeight="1">
      <c r="A71" s="123" t="str">
        <f>IF(OR($C$6="",$J$6="",$M$6=""),"",IF($B71="","",SUBTOTAL(3,$B$11:B71)))</f>
        <v/>
      </c>
      <c r="B71" s="25" t="str">
        <f>IF(OR($C$6="",$J$6="",$M$6=""),"",IF(HKI!$B71="","",HKI!$B71))</f>
        <v/>
      </c>
      <c r="C71" s="26" t="str">
        <f>IF(OR($C$6="",$J$6="",$M$6=""),"",IF(HKI!$C71="","",HKI!$C71))</f>
        <v/>
      </c>
      <c r="D71" s="152" t="str">
        <f>IF(OR($C$6="",$J$6="",$M$6=""),"",IF(HKI!$D71="","",HKI!$D71))</f>
        <v/>
      </c>
      <c r="E71" s="44"/>
      <c r="F71" s="44"/>
      <c r="G71" s="45"/>
      <c r="H71" s="45"/>
      <c r="I71" s="45"/>
      <c r="J71" s="45"/>
      <c r="K71" s="44"/>
      <c r="L71" s="45"/>
      <c r="M71" s="45"/>
      <c r="N71" s="45"/>
      <c r="O71" s="198" t="str">
        <f t="shared" si="0"/>
        <v/>
      </c>
      <c r="P71" s="204" t="str">
        <f t="shared" si="1"/>
        <v/>
      </c>
    </row>
    <row r="72" spans="1:16" ht="18" customHeight="1">
      <c r="A72" s="123" t="str">
        <f>IF(OR($C$6="",$J$6="",$M$6=""),"",IF($B72="","",SUBTOTAL(3,$B$11:B72)))</f>
        <v/>
      </c>
      <c r="B72" s="25" t="str">
        <f>IF(OR($C$6="",$J$6="",$M$6=""),"",IF(HKI!$B72="","",HKI!$B72))</f>
        <v/>
      </c>
      <c r="C72" s="26" t="str">
        <f>IF(OR($C$6="",$J$6="",$M$6=""),"",IF(HKI!$C72="","",HKI!$C72))</f>
        <v/>
      </c>
      <c r="D72" s="152" t="str">
        <f>IF(OR($C$6="",$J$6="",$M$6=""),"",IF(HKI!$D72="","",HKI!$D72))</f>
        <v/>
      </c>
      <c r="E72" s="44"/>
      <c r="F72" s="44"/>
      <c r="G72" s="45"/>
      <c r="H72" s="45"/>
      <c r="I72" s="45"/>
      <c r="J72" s="45"/>
      <c r="K72" s="44"/>
      <c r="L72" s="45"/>
      <c r="M72" s="45"/>
      <c r="N72" s="45"/>
      <c r="O72" s="198" t="str">
        <f t="shared" si="0"/>
        <v/>
      </c>
      <c r="P72" s="204" t="str">
        <f t="shared" si="1"/>
        <v/>
      </c>
    </row>
    <row r="73" spans="1:16" ht="18" customHeight="1">
      <c r="A73" s="123" t="str">
        <f>IF(OR($C$6="",$J$6="",$M$6=""),"",IF($B73="","",SUBTOTAL(3,$B$11:B73)))</f>
        <v/>
      </c>
      <c r="B73" s="25" t="str">
        <f>IF(OR($C$6="",$J$6="",$M$6=""),"",IF(HKI!$B73="","",HKI!$B73))</f>
        <v/>
      </c>
      <c r="C73" s="26" t="str">
        <f>IF(OR($C$6="",$J$6="",$M$6=""),"",IF(HKI!$C73="","",HKI!$C73))</f>
        <v/>
      </c>
      <c r="D73" s="152" t="str">
        <f>IF(OR($C$6="",$J$6="",$M$6=""),"",IF(HKI!$D73="","",HKI!$D73))</f>
        <v/>
      </c>
      <c r="E73" s="44"/>
      <c r="F73" s="44"/>
      <c r="G73" s="45"/>
      <c r="H73" s="45"/>
      <c r="I73" s="45"/>
      <c r="J73" s="45"/>
      <c r="K73" s="44"/>
      <c r="L73" s="45"/>
      <c r="M73" s="45"/>
      <c r="N73" s="45"/>
      <c r="O73" s="198" t="str">
        <f t="shared" si="0"/>
        <v/>
      </c>
      <c r="P73" s="204" t="str">
        <f t="shared" si="1"/>
        <v/>
      </c>
    </row>
    <row r="74" spans="1:16" ht="18" customHeight="1">
      <c r="A74" s="123" t="str">
        <f>IF(OR($C$6="",$J$6="",$M$6=""),"",IF($B74="","",SUBTOTAL(3,$B$11:B74)))</f>
        <v/>
      </c>
      <c r="B74" s="25" t="str">
        <f>IF(OR($C$6="",$J$6="",$M$6=""),"",IF(HKI!$B74="","",HKI!$B74))</f>
        <v/>
      </c>
      <c r="C74" s="26" t="str">
        <f>IF(OR($C$6="",$J$6="",$M$6=""),"",IF(HKI!$C74="","",HKI!$C74))</f>
        <v/>
      </c>
      <c r="D74" s="152" t="str">
        <f>IF(OR($C$6="",$J$6="",$M$6=""),"",IF(HKI!$D74="","",HKI!$D74))</f>
        <v/>
      </c>
      <c r="E74" s="44"/>
      <c r="F74" s="44"/>
      <c r="G74" s="45"/>
      <c r="H74" s="45"/>
      <c r="I74" s="45"/>
      <c r="J74" s="45"/>
      <c r="K74" s="44"/>
      <c r="L74" s="45"/>
      <c r="M74" s="45"/>
      <c r="N74" s="45"/>
      <c r="O74" s="198" t="str">
        <f t="shared" si="0"/>
        <v/>
      </c>
      <c r="P74" s="204" t="str">
        <f t="shared" si="1"/>
        <v/>
      </c>
    </row>
    <row r="75" spans="1:16" ht="18" customHeight="1">
      <c r="A75" s="123" t="str">
        <f>IF(OR($C$6="",$J$6="",$M$6=""),"",IF($B75="","",SUBTOTAL(3,$B$11:B75)))</f>
        <v/>
      </c>
      <c r="B75" s="25" t="str">
        <f>IF(OR($C$6="",$J$6="",$M$6=""),"",IF(HKI!$B75="","",HKI!$B75))</f>
        <v/>
      </c>
      <c r="C75" s="26" t="str">
        <f>IF(OR($C$6="",$J$6="",$M$6=""),"",IF(HKI!$C75="","",HKI!$C75))</f>
        <v/>
      </c>
      <c r="D75" s="152" t="str">
        <f>IF(OR($C$6="",$J$6="",$M$6=""),"",IF(HKI!$D75="","",HKI!$D75))</f>
        <v/>
      </c>
      <c r="E75" s="44"/>
      <c r="F75" s="44"/>
      <c r="G75" s="45"/>
      <c r="H75" s="45"/>
      <c r="I75" s="45"/>
      <c r="J75" s="45"/>
      <c r="K75" s="44"/>
      <c r="L75" s="45"/>
      <c r="M75" s="45"/>
      <c r="N75" s="45"/>
      <c r="O75" s="198" t="str">
        <f t="shared" si="0"/>
        <v/>
      </c>
      <c r="P75" s="204" t="str">
        <f t="shared" si="1"/>
        <v/>
      </c>
    </row>
    <row r="76" spans="1:16" ht="18" customHeight="1">
      <c r="A76" s="123"/>
      <c r="B76" s="25" t="str">
        <f>IF(OR($C$6="",$J$6="",$M$6=""),"",IF(HKI!$B76="","",HKI!$B76))</f>
        <v/>
      </c>
      <c r="C76" s="26"/>
      <c r="D76" s="152"/>
      <c r="E76" s="44"/>
      <c r="F76" s="44"/>
      <c r="G76" s="45"/>
      <c r="H76" s="45"/>
      <c r="I76" s="45"/>
      <c r="J76" s="45"/>
      <c r="K76" s="44"/>
      <c r="L76" s="45"/>
      <c r="M76" s="45"/>
      <c r="N76" s="45"/>
      <c r="O76" s="198" t="str">
        <f>IF($B76="","",IF(OR($C$6="",$J$6="",$M$6=""),"",IF(ISNUMBER($E76)=TRUE,$E76,IF(COUNT($F76:$N76)=0,"",ROUND(SUM($F76:$N76)/COUNT($F76:$N76),1)))))</f>
        <v/>
      </c>
      <c r="P76" s="204" t="str">
        <f>IF($B76="","",IF(OR($C$6="",$J$6="",$M$6=""),"",IF($O76="","KXL",IF($O76&lt;4,"Kém",IF($O76&lt;5.5,"TB Yếu",IF($O76&lt;7,"T.Bình",IF($O76&lt;8.5,"Khá","Giỏi")))))))</f>
        <v/>
      </c>
    </row>
    <row r="77" spans="1:16" ht="18" customHeight="1">
      <c r="A77" s="123"/>
      <c r="B77" s="25" t="str">
        <f>IF(OR($C$6="",$J$6="",$M$6=""),"",IF(HKI!$B77="","",HKI!$B77))</f>
        <v/>
      </c>
      <c r="C77" s="26"/>
      <c r="D77" s="152"/>
      <c r="E77" s="44"/>
      <c r="F77" s="44"/>
      <c r="G77" s="45"/>
      <c r="H77" s="45"/>
      <c r="I77" s="45"/>
      <c r="J77" s="45"/>
      <c r="K77" s="44"/>
      <c r="L77" s="45"/>
      <c r="M77" s="45"/>
      <c r="N77" s="45"/>
      <c r="O77" s="198" t="str">
        <f>IF($B77="","",IF(OR($C$6="",$J$6="",$M$6=""),"",IF(ISNUMBER($E77)=TRUE,$E77,IF(COUNT($F77:$N77)=0,"",ROUND(SUM($F77:$N77)/COUNT($F77:$N77),1)))))</f>
        <v/>
      </c>
      <c r="P77" s="204" t="str">
        <f t="shared" si="1"/>
        <v/>
      </c>
    </row>
    <row r="78" spans="1:16" ht="18" customHeight="1">
      <c r="A78" s="123"/>
      <c r="B78" s="25" t="str">
        <f>IF(OR($C$6="",$J$6="",$M$6=""),"",IF(HKI!$B78="","",HKI!$B78))</f>
        <v/>
      </c>
      <c r="C78" s="26"/>
      <c r="D78" s="152"/>
      <c r="E78" s="44"/>
      <c r="F78" s="44"/>
      <c r="G78" s="45"/>
      <c r="H78" s="45"/>
      <c r="I78" s="45"/>
      <c r="J78" s="45"/>
      <c r="K78" s="44"/>
      <c r="L78" s="45"/>
      <c r="M78" s="45"/>
      <c r="N78" s="45"/>
      <c r="O78" s="198" t="str">
        <f>IF($B78="","",IF(OR($C$6="",$J$6="",$M$6=""),"",IF(ISNUMBER($E78)=TRUE,$E78,IF(COUNT($F78:$N78)=0,"",ROUND(SUM($F78:$N78)/COUNT($F78:$N78),1)))))</f>
        <v/>
      </c>
      <c r="P78" s="204" t="str">
        <f>IF($B78="","",IF(OR($C$6="",$J$6="",$M$6=""),"",IF($O78="","KXL",IF($O78&lt;4,"Kém",IF($O78&lt;5.5,"TB Yếu",IF($O78&lt;7,"T.Bình",IF($O78&lt;8.5,"Khá","Giỏi")))))))</f>
        <v/>
      </c>
    </row>
    <row r="79" spans="1:16" ht="18" customHeight="1">
      <c r="A79" s="123"/>
      <c r="B79" s="25" t="str">
        <f>IF(OR($C$6="",$J$6="",$M$6=""),"",IF(HKI!$B79="","",HKI!$B79))</f>
        <v/>
      </c>
      <c r="C79" s="26"/>
      <c r="D79" s="152"/>
      <c r="E79" s="44"/>
      <c r="F79" s="44"/>
      <c r="G79" s="45"/>
      <c r="H79" s="45"/>
      <c r="I79" s="45"/>
      <c r="J79" s="45"/>
      <c r="K79" s="44"/>
      <c r="L79" s="45"/>
      <c r="M79" s="45"/>
      <c r="N79" s="45"/>
      <c r="O79" s="198" t="str">
        <f>IF($B79="","",IF(OR($C$6="",$J$6="",$M$6=""),"",IF(ISNUMBER($E79)=TRUE,$E79,IF(COUNT($F79:$N79)=0,"",ROUND(SUM($F79:$N79)/COUNT($F79:$N79),1)))))</f>
        <v/>
      </c>
      <c r="P79" s="204" t="str">
        <f>IF($B79="","",IF(OR($C$6="",$J$6="",$M$6=""),"",IF($O79="","KXL",IF($O79&lt;4,"Kém",IF($O79&lt;5.5,"TB Yếu",IF($O79&lt;7,"T.Bình",IF($O79&lt;8.5,"Khá","Giỏi")))))))</f>
        <v/>
      </c>
    </row>
    <row r="80" spans="1:16" ht="18" customHeight="1">
      <c r="A80" s="123"/>
      <c r="B80" s="25" t="str">
        <f>IF(OR($C$6="",$J$6="",$M$6=""),"",IF(HKI!$B80="","",HKI!$B80))</f>
        <v/>
      </c>
      <c r="C80" s="26"/>
      <c r="D80" s="152"/>
      <c r="E80" s="44"/>
      <c r="F80" s="44"/>
      <c r="G80" s="45"/>
      <c r="H80" s="45"/>
      <c r="I80" s="45"/>
      <c r="J80" s="45"/>
      <c r="K80" s="44"/>
      <c r="L80" s="45"/>
      <c r="M80" s="45"/>
      <c r="N80" s="45"/>
      <c r="O80" s="198" t="str">
        <f>IF($B80="","",IF(OR($C$6="",$J$6="",$M$6=""),"",IF(ISNUMBER($E80)=TRUE,$E80,IF(COUNT($F80:$N80)=0,"",ROUND(SUM($F80:$N80)/COUNT($F80:$N80),1)))))</f>
        <v/>
      </c>
      <c r="P80" s="204" t="str">
        <f>IF($B80="","",IF(OR($C$6="",$J$6="",$M$6=""),"",IF($O80="","KXL",IF($O80&lt;4,"Kém",IF($O80&lt;5.5,"TB Yếu",IF($O80&lt;7,"T.Bình",IF($O80&lt;8.5,"Khá","Giỏi")))))))</f>
        <v/>
      </c>
    </row>
    <row r="81" spans="1:16" s="146" customFormat="1" ht="17.25" customHeight="1">
      <c r="A81" s="653" t="s">
        <v>1459</v>
      </c>
      <c r="B81" s="653"/>
      <c r="C81" s="653"/>
      <c r="D81" s="653"/>
      <c r="E81" s="653"/>
      <c r="F81" s="653"/>
      <c r="G81" s="653"/>
      <c r="H81" s="653"/>
      <c r="I81" s="653"/>
      <c r="J81" s="653"/>
      <c r="K81" s="653"/>
      <c r="L81" s="653"/>
      <c r="M81" s="653"/>
      <c r="N81" s="653"/>
      <c r="O81" s="653"/>
      <c r="P81" s="56"/>
    </row>
    <row r="82" spans="1:16" s="146" customFormat="1">
      <c r="A82" s="136"/>
      <c r="B82" s="651" t="str">
        <f>"Tổng danh sách có"</f>
        <v>Tổng danh sách có</v>
      </c>
      <c r="C82" s="651"/>
      <c r="D82" s="651"/>
      <c r="E82" s="651"/>
      <c r="F82" s="686" t="str">
        <f>": "&amp;MAX($A$11:$A$75)&amp;" SV"</f>
        <v>: 50 SV</v>
      </c>
      <c r="G82" s="686"/>
      <c r="L82" s="147"/>
      <c r="M82" s="147"/>
      <c r="N82" s="147"/>
      <c r="O82" s="147"/>
      <c r="P82" s="209"/>
    </row>
    <row r="83" spans="1:16" s="146" customFormat="1" ht="15" customHeight="1">
      <c r="A83" s="148"/>
      <c r="B83" s="643" t="str">
        <f>"Tổng số SV có điểm Giỏi từ 8,5 đ đến 10 đ"</f>
        <v>Tổng số SV có điểm Giỏi từ 8,5 đ đến 10 đ</v>
      </c>
      <c r="C83" s="643"/>
      <c r="D83" s="643"/>
      <c r="E83" s="643"/>
      <c r="F83" s="643" t="str">
        <f>": "&amp;COUNTIF($P$11:$P$80,"Giỏi")&amp;" SV"</f>
        <v>: 3 SV</v>
      </c>
      <c r="G83" s="643"/>
      <c r="H83" s="674" t="str">
        <f>IF($B11="","","("&amp;ROUND(COUNTIF($P$11:$P$80,"Giỏi")*100/MAX($A$11:$A$80),2)&amp;"%"&amp;")")</f>
        <v>(6%)</v>
      </c>
      <c r="I83" s="674"/>
      <c r="J83" s="645" t="str">
        <f>"Tổng số SV có điểm &gt;= 4 đ : "&amp;COUNTIF($O$11:$O$80,"&gt;=4")&amp;" SV"&amp;" ("&amp;ROUND(COUNTIF($O$11:$O$80,"&gt;=4")*100/IF($B11="",1,MAX($A$11:$A$80)),2)&amp;"%" &amp;")"</f>
        <v>Tổng số SV có điểm &gt;= 4 đ : 41 SV (82%)</v>
      </c>
      <c r="K83" s="645"/>
      <c r="L83" s="645"/>
      <c r="M83" s="645"/>
      <c r="N83" s="645"/>
      <c r="O83" s="645"/>
      <c r="P83" s="205"/>
    </row>
    <row r="84" spans="1:16" s="146" customFormat="1" ht="15" customHeight="1">
      <c r="A84" s="148"/>
      <c r="B84" s="643" t="str">
        <f>"Tổng số SV có điểm Khá từ 7 đ đến &lt;8,5 đ"</f>
        <v>Tổng số SV có điểm Khá từ 7 đ đến &lt;8,5 đ</v>
      </c>
      <c r="C84" s="643"/>
      <c r="D84" s="643"/>
      <c r="E84" s="643"/>
      <c r="F84" s="643" t="str">
        <f>": "&amp;COUNTIF($P$11:$P$80,"Khá")&amp;" SV"</f>
        <v>: 10 SV</v>
      </c>
      <c r="G84" s="643"/>
      <c r="H84" s="674" t="str">
        <f>IF($B11="","","("&amp;ROUND(COUNTIF($P$11:$P$80,"Khá")*100/MAX($A$11:$A$80),2)&amp;"%" &amp;")")</f>
        <v>(20%)</v>
      </c>
      <c r="I84" s="674"/>
      <c r="J84" s="645"/>
      <c r="K84" s="645"/>
      <c r="L84" s="645"/>
      <c r="M84" s="645"/>
      <c r="N84" s="645"/>
      <c r="O84" s="645"/>
      <c r="P84" s="205"/>
    </row>
    <row r="85" spans="1:16" s="146" customFormat="1" ht="15" customHeight="1">
      <c r="A85" s="148"/>
      <c r="B85" s="643" t="str">
        <f>"Tổng số SV có điểm Trung bình từ 5,5 đ đến &lt;7 đ"</f>
        <v>Tổng số SV có điểm Trung bình từ 5,5 đ đến &lt;7 đ</v>
      </c>
      <c r="C85" s="643"/>
      <c r="D85" s="643"/>
      <c r="E85" s="643"/>
      <c r="F85" s="643" t="str">
        <f>": "&amp;COUNTIF($P$11:$P$80,"T.Bình")&amp;" SV"</f>
        <v>: 18 SV</v>
      </c>
      <c r="G85" s="643"/>
      <c r="H85" s="674" t="str">
        <f>IF($B11="","","("&amp;ROUND(COUNTIF($P$11:$P$80,"T.Bình")*100/MAX($A$11:$A$80),2)&amp;"%" &amp;")")</f>
        <v>(36%)</v>
      </c>
      <c r="I85" s="674"/>
      <c r="J85" s="645"/>
      <c r="K85" s="645"/>
      <c r="L85" s="645"/>
      <c r="M85" s="645"/>
      <c r="N85" s="645"/>
      <c r="O85" s="645"/>
      <c r="P85" s="205"/>
    </row>
    <row r="86" spans="1:16" s="146" customFormat="1" ht="15" customHeight="1">
      <c r="A86" s="148"/>
      <c r="B86" s="643" t="str">
        <f>"Tổng số SV có điểm Trung bình yếu từ 4 đ đến &lt;5,5 đ"</f>
        <v>Tổng số SV có điểm Trung bình yếu từ 4 đ đến &lt;5,5 đ</v>
      </c>
      <c r="C86" s="643"/>
      <c r="D86" s="643"/>
      <c r="E86" s="643"/>
      <c r="F86" s="643" t="str">
        <f>": "&amp;COUNTIF($P$11:$P$80,"TB Yếu")&amp;" SV"</f>
        <v>: 10 SV</v>
      </c>
      <c r="G86" s="643"/>
      <c r="H86" s="674" t="str">
        <f>IF($B11="","","("&amp;ROUND(COUNTIF($P$11:$P$80,"TBYếu")*100/MAX($A$11:$A$80),2)&amp;"%" &amp;")")</f>
        <v>(0%)</v>
      </c>
      <c r="I86" s="674"/>
      <c r="J86" s="644" t="str">
        <f>"Tổng số SV có điểm &lt; 4 đ : "&amp;COUNTIF($O$11:$O$80,"&lt;4")&amp;" SV"&amp;" ("&amp;ROUND(COUNTIF($O11:$O75,"&lt;4")*100/IF($B11="",1,MAX($A$11:$A$80)),2)&amp;"%" &amp;")"</f>
        <v>Tổng số SV có điểm &lt; 4 đ : 9 SV (18%)</v>
      </c>
      <c r="K86" s="644"/>
      <c r="L86" s="644"/>
      <c r="M86" s="644"/>
      <c r="N86" s="644"/>
      <c r="O86" s="644"/>
      <c r="P86" s="206"/>
    </row>
    <row r="87" spans="1:16" s="146" customFormat="1" ht="15" customHeight="1">
      <c r="A87" s="148"/>
      <c r="B87" s="643" t="str">
        <f>"Tổng số SV có điểm kém &lt;4 đ"</f>
        <v>Tổng số SV có điểm kém &lt;4 đ</v>
      </c>
      <c r="C87" s="643"/>
      <c r="D87" s="643"/>
      <c r="E87" s="643"/>
      <c r="F87" s="643" t="str">
        <f>": "&amp;COUNTIF($P$11:$P$80,"Kém")&amp;" SV"</f>
        <v>: 9 SV</v>
      </c>
      <c r="G87" s="643"/>
      <c r="H87" s="674" t="str">
        <f>IF($B11="","","("&amp;ROUND(COUNTIF($P$11:$P$80,"Kém")*100/MAX($A$11:$A$80),2)&amp;"%"&amp;")")</f>
        <v>(18%)</v>
      </c>
      <c r="I87" s="674"/>
      <c r="J87" s="644"/>
      <c r="K87" s="644"/>
      <c r="L87" s="644"/>
      <c r="M87" s="644"/>
      <c r="N87" s="644"/>
      <c r="O87" s="644"/>
      <c r="P87" s="206"/>
    </row>
    <row r="88" spans="1:16" s="146" customFormat="1" ht="15" customHeight="1">
      <c r="A88" s="148"/>
      <c r="B88" s="643" t="str">
        <f>"Tổng số SV không xếp loại vì chưa đủ điều kiện"</f>
        <v>Tổng số SV không xếp loại vì chưa đủ điều kiện</v>
      </c>
      <c r="C88" s="643"/>
      <c r="D88" s="643"/>
      <c r="E88" s="643"/>
      <c r="F88" s="643" t="str">
        <f>": "&amp;COUNTIF($P$11:$P$80,"KXL")&amp;" SV"</f>
        <v>: 0 SV</v>
      </c>
      <c r="G88" s="643"/>
      <c r="H88" s="674" t="str">
        <f>IF($B11="","","("&amp;ROUND(COUNTIF($P$11:$P$80,"KXL")*100/MAX($A$11:$A$80),2)&amp;"%"&amp;")")</f>
        <v>(0%)</v>
      </c>
      <c r="I88" s="674"/>
      <c r="J88" s="644"/>
      <c r="K88" s="644"/>
      <c r="L88" s="644"/>
      <c r="M88" s="644"/>
      <c r="N88" s="644"/>
      <c r="O88" s="644"/>
      <c r="P88" s="206"/>
    </row>
    <row r="89" spans="1:16">
      <c r="B89" s="149"/>
      <c r="C89" s="149"/>
      <c r="D89" s="149"/>
      <c r="E89" s="149"/>
      <c r="F89" s="149"/>
      <c r="G89" s="149"/>
      <c r="H89" s="149"/>
      <c r="I89" s="149"/>
      <c r="J89" s="149"/>
      <c r="K89" s="149"/>
      <c r="L89" s="149"/>
      <c r="M89" s="149"/>
      <c r="N89" s="149"/>
    </row>
    <row r="90" spans="1:16" ht="15.75" customHeight="1">
      <c r="A90" s="636" t="s">
        <v>190</v>
      </c>
      <c r="B90" s="636"/>
      <c r="C90" s="636"/>
      <c r="D90" s="636" t="s">
        <v>256</v>
      </c>
      <c r="E90" s="636"/>
      <c r="F90" s="636"/>
      <c r="G90" s="636"/>
      <c r="H90" s="636"/>
      <c r="I90" s="138"/>
      <c r="J90" s="636" t="s">
        <v>257</v>
      </c>
      <c r="K90" s="636"/>
      <c r="L90" s="636"/>
      <c r="M90" s="636"/>
      <c r="N90" s="636"/>
      <c r="O90" s="162"/>
      <c r="P90" s="213"/>
    </row>
    <row r="96" spans="1:16" ht="15.75" customHeight="1">
      <c r="A96" s="162"/>
      <c r="B96" s="162"/>
      <c r="C96" s="162"/>
      <c r="D96" s="162"/>
      <c r="E96" s="162"/>
      <c r="F96" s="162"/>
      <c r="G96" s="162"/>
      <c r="H96" s="162"/>
      <c r="I96" s="138"/>
      <c r="J96" s="162"/>
      <c r="K96" s="162"/>
      <c r="L96" s="162"/>
      <c r="M96" s="162"/>
      <c r="N96" s="162"/>
      <c r="O96" s="162"/>
      <c r="P96" s="213"/>
    </row>
  </sheetData>
  <sheetProtection sheet="1" formatCells="0" formatColumns="0" formatRows="0" autoFilter="0"/>
  <mergeCells count="55">
    <mergeCell ref="D90:H90"/>
    <mergeCell ref="J90:N90"/>
    <mergeCell ref="A90:C90"/>
    <mergeCell ref="H83:I83"/>
    <mergeCell ref="J83:O85"/>
    <mergeCell ref="J86:O88"/>
    <mergeCell ref="H87:I87"/>
    <mergeCell ref="H88:I88"/>
    <mergeCell ref="H84:I84"/>
    <mergeCell ref="B88:E88"/>
    <mergeCell ref="F88:G88"/>
    <mergeCell ref="B83:E83"/>
    <mergeCell ref="F83:G83"/>
    <mergeCell ref="B84:E84"/>
    <mergeCell ref="F84:G84"/>
    <mergeCell ref="B86:E86"/>
    <mergeCell ref="F85:G85"/>
    <mergeCell ref="B87:E87"/>
    <mergeCell ref="F87:G87"/>
    <mergeCell ref="P8:P10"/>
    <mergeCell ref="A8:A10"/>
    <mergeCell ref="B85:E85"/>
    <mergeCell ref="H85:I85"/>
    <mergeCell ref="H86:I86"/>
    <mergeCell ref="A81:O81"/>
    <mergeCell ref="B82:E82"/>
    <mergeCell ref="F86:G86"/>
    <mergeCell ref="A4:O4"/>
    <mergeCell ref="A5:O5"/>
    <mergeCell ref="O8:O10"/>
    <mergeCell ref="M6:O6"/>
    <mergeCell ref="M9:M10"/>
    <mergeCell ref="C8:D10"/>
    <mergeCell ref="I9:I10"/>
    <mergeCell ref="K9:K10"/>
    <mergeCell ref="L9:L10"/>
    <mergeCell ref="J9:J10"/>
    <mergeCell ref="G9:G10"/>
    <mergeCell ref="E8:E10"/>
    <mergeCell ref="A1:F1"/>
    <mergeCell ref="A3:F3"/>
    <mergeCell ref="A2:F2"/>
    <mergeCell ref="G1:O1"/>
    <mergeCell ref="F82:G82"/>
    <mergeCell ref="N9:N10"/>
    <mergeCell ref="C6:F6"/>
    <mergeCell ref="G6:I6"/>
    <mergeCell ref="F8:N8"/>
    <mergeCell ref="G7:I7"/>
    <mergeCell ref="K6:L6"/>
    <mergeCell ref="F9:F10"/>
    <mergeCell ref="H9:H10"/>
    <mergeCell ref="B8:B10"/>
    <mergeCell ref="G2:O2"/>
    <mergeCell ref="J7:L7"/>
  </mergeCells>
  <phoneticPr fontId="11" type="noConversion"/>
  <conditionalFormatting sqref="O11:O80">
    <cfRule type="cellIs" dxfId="2" priority="2" stopIfTrue="1" operator="lessThan">
      <formula>4</formula>
    </cfRule>
  </conditionalFormatting>
  <conditionalFormatting sqref="G11:G60">
    <cfRule type="expression" dxfId="1" priority="1" stopIfTrue="1">
      <formula>IF(MOD($A11,2)=0,TRUE,FALSE)</formula>
    </cfRule>
  </conditionalFormatting>
  <dataValidations count="3">
    <dataValidation type="decimal" allowBlank="1" showInputMessage="1" showErrorMessage="1" sqref="F64:N80 K63 L11:N55 E11:E80 F11:K16">
      <formula1>0</formula1>
      <formula2>10</formula2>
    </dataValidation>
    <dataValidation type="whole" allowBlank="1" showInputMessage="1" showErrorMessage="1" errorTitle="Nhap sai" error="Hãy nhập lại_x000a_0 ≤ Điểm ≤ 10" sqref="L56:M63 F63:J63 F17:I62">
      <formula1>0</formula1>
      <formula2>10</formula2>
    </dataValidation>
    <dataValidation type="decimal" allowBlank="1" showInputMessage="1" showErrorMessage="1" errorTitle="Nhap sai" error="Hãy nhập lại_x000a_0 ≤ Điểm ≤ 10" sqref="N56:N63 J17:K62">
      <formula1>0</formula1>
      <formula2>10</formula2>
    </dataValidation>
  </dataValidations>
  <printOptions horizontalCentered="1"/>
  <pageMargins left="0.5" right="0" top="0.25" bottom="0.25" header="0.25" footer="0.25"/>
  <pageSetup paperSize="9" scale="95" orientation="portrait" horizontalDpi="1200" verticalDpi="1200"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6"/>
  <sheetViews>
    <sheetView topLeftCell="A37" workbookViewId="0">
      <selection activeCell="A60" sqref="A60:IV60"/>
    </sheetView>
  </sheetViews>
  <sheetFormatPr defaultRowHeight="12.75"/>
  <cols>
    <col min="1" max="1" width="4.28515625" style="136" customWidth="1"/>
    <col min="2" max="2" width="12.85546875" style="136" customWidth="1"/>
    <col min="3" max="3" width="19.140625" style="136" bestFit="1" customWidth="1"/>
    <col min="4" max="4" width="8.140625" style="136" bestFit="1" customWidth="1"/>
    <col min="5" max="5" width="6" style="136" bestFit="1" customWidth="1"/>
    <col min="6" max="14" width="5.28515625" style="136" customWidth="1"/>
    <col min="15" max="15" width="6.140625" style="136" bestFit="1" customWidth="1"/>
    <col min="16" max="16" width="0" style="136" hidden="1" customWidth="1"/>
    <col min="17" max="16384" width="9.140625" style="136"/>
  </cols>
  <sheetData>
    <row r="1" spans="1:16" ht="15.75">
      <c r="A1" s="633" t="s">
        <v>2695</v>
      </c>
      <c r="B1" s="633"/>
      <c r="C1" s="633"/>
      <c r="D1" s="633"/>
      <c r="E1" s="633"/>
      <c r="F1" s="633"/>
      <c r="G1" s="632" t="s">
        <v>249</v>
      </c>
      <c r="H1" s="632"/>
      <c r="I1" s="632"/>
      <c r="J1" s="632"/>
      <c r="K1" s="632"/>
      <c r="L1" s="632"/>
      <c r="M1" s="632"/>
      <c r="N1" s="632"/>
      <c r="O1" s="632"/>
    </row>
    <row r="2" spans="1:16" ht="33.75" customHeight="1">
      <c r="A2" s="631" t="s">
        <v>2687</v>
      </c>
      <c r="B2" s="632"/>
      <c r="C2" s="632"/>
      <c r="D2" s="632"/>
      <c r="E2" s="632"/>
      <c r="F2" s="632"/>
      <c r="G2" s="638" t="s">
        <v>250</v>
      </c>
      <c r="H2" s="638"/>
      <c r="I2" s="638"/>
      <c r="J2" s="638"/>
      <c r="K2" s="638"/>
      <c r="L2" s="638"/>
      <c r="M2" s="638"/>
      <c r="N2" s="638"/>
      <c r="O2" s="638"/>
    </row>
    <row r="3" spans="1:16" ht="19.5" customHeight="1">
      <c r="A3" s="633"/>
      <c r="B3" s="633"/>
      <c r="C3" s="633"/>
      <c r="D3" s="633"/>
      <c r="E3" s="633"/>
      <c r="F3" s="633"/>
      <c r="I3" s="166"/>
      <c r="J3" s="147"/>
      <c r="K3" s="147"/>
      <c r="L3" s="147"/>
      <c r="M3" s="147"/>
      <c r="N3" s="147"/>
      <c r="O3" s="147"/>
      <c r="P3" s="147"/>
    </row>
    <row r="4" spans="1:16" ht="21" customHeight="1">
      <c r="A4" s="635" t="s">
        <v>158</v>
      </c>
      <c r="B4" s="635"/>
      <c r="C4" s="635"/>
      <c r="D4" s="635"/>
      <c r="E4" s="635"/>
      <c r="F4" s="635"/>
      <c r="G4" s="635"/>
      <c r="H4" s="635"/>
      <c r="I4" s="635"/>
      <c r="J4" s="635"/>
      <c r="K4" s="635"/>
      <c r="L4" s="635"/>
      <c r="M4" s="635"/>
      <c r="N4" s="635"/>
      <c r="O4" s="635"/>
    </row>
    <row r="5" spans="1:16" ht="10.5" customHeight="1">
      <c r="A5" s="635"/>
      <c r="B5" s="635"/>
      <c r="C5" s="635"/>
      <c r="D5" s="635"/>
      <c r="E5" s="635"/>
      <c r="F5" s="635"/>
      <c r="G5" s="635"/>
      <c r="H5" s="635"/>
      <c r="I5" s="635"/>
      <c r="J5" s="635"/>
      <c r="K5" s="635"/>
      <c r="L5" s="635"/>
      <c r="M5" s="635"/>
      <c r="N5" s="635"/>
      <c r="O5" s="635"/>
    </row>
    <row r="6" spans="1:16" s="139" customFormat="1" ht="17.25" customHeight="1">
      <c r="B6" s="19" t="s">
        <v>252</v>
      </c>
      <c r="C6" s="637" t="str">
        <f>IF($M$6="","",IF(VLOOKUP($M$6,'LOP-MON'!$B$2:$N$43,13,FALSE)=0,"",VLOOKUP($M$6,'LOP-MON'!$B$2:$N$43,13,FALSE)))</f>
        <v>Thực tập Đo lường cảm biến</v>
      </c>
      <c r="D6" s="637"/>
      <c r="E6" s="637"/>
      <c r="F6" s="637"/>
      <c r="G6" s="636" t="s">
        <v>271</v>
      </c>
      <c r="H6" s="636"/>
      <c r="I6" s="636"/>
      <c r="J6" s="183">
        <f>IF($M$6="","",IF(VLOOKUP(CONCATENATE("TC",MID($M$6,1,4),MID($M$6,6,3)),'LOP-MON'!$B$2:$N$43,13,FALSE)=0,"",VLOOKUP(CONCATENATE("TC",MID($M$6,1,4),MID($M$6,6,3)),'LOP-MON'!$B$2:$N$43,13,FALSE)))</f>
        <v>2</v>
      </c>
      <c r="K6" s="652" t="s">
        <v>187</v>
      </c>
      <c r="L6" s="652"/>
      <c r="M6" s="693" t="str">
        <f>HKI!$D$3</f>
        <v>13CĐ-Đ1</v>
      </c>
      <c r="N6" s="693"/>
      <c r="O6" s="693"/>
    </row>
    <row r="7" spans="1:16" s="140" customFormat="1" ht="17.25" customHeight="1">
      <c r="C7" s="100" t="s">
        <v>253</v>
      </c>
      <c r="D7" s="100" t="s">
        <v>2693</v>
      </c>
      <c r="E7" s="141"/>
      <c r="G7" s="634" t="s">
        <v>254</v>
      </c>
      <c r="H7" s="634"/>
      <c r="I7" s="634"/>
      <c r="J7" s="634" t="s">
        <v>2694</v>
      </c>
      <c r="K7" s="634"/>
      <c r="L7" s="634"/>
      <c r="O7" s="19"/>
      <c r="P7" s="19"/>
    </row>
    <row r="8" spans="1:16" s="197" customFormat="1" ht="18.75" customHeight="1">
      <c r="A8" s="677" t="s">
        <v>255</v>
      </c>
      <c r="B8" s="677" t="s">
        <v>188</v>
      </c>
      <c r="C8" s="680" t="s">
        <v>189</v>
      </c>
      <c r="D8" s="681"/>
      <c r="E8" s="690" t="s">
        <v>259</v>
      </c>
      <c r="F8" s="687" t="s">
        <v>159</v>
      </c>
      <c r="G8" s="688"/>
      <c r="H8" s="688"/>
      <c r="I8" s="688"/>
      <c r="J8" s="688"/>
      <c r="K8" s="688"/>
      <c r="L8" s="688"/>
      <c r="M8" s="688"/>
      <c r="N8" s="689"/>
      <c r="O8" s="677" t="s">
        <v>260</v>
      </c>
      <c r="P8" s="697" t="s">
        <v>258</v>
      </c>
    </row>
    <row r="9" spans="1:16" s="197" customFormat="1" ht="15.75">
      <c r="A9" s="678"/>
      <c r="B9" s="678"/>
      <c r="C9" s="682"/>
      <c r="D9" s="683"/>
      <c r="E9" s="691"/>
      <c r="F9" s="675" t="s">
        <v>160</v>
      </c>
      <c r="G9" s="675" t="s">
        <v>161</v>
      </c>
      <c r="H9" s="675" t="s">
        <v>162</v>
      </c>
      <c r="I9" s="675" t="s">
        <v>163</v>
      </c>
      <c r="J9" s="675" t="s">
        <v>164</v>
      </c>
      <c r="K9" s="675" t="s">
        <v>165</v>
      </c>
      <c r="L9" s="675" t="s">
        <v>166</v>
      </c>
      <c r="M9" s="675" t="s">
        <v>167</v>
      </c>
      <c r="N9" s="675" t="s">
        <v>168</v>
      </c>
      <c r="O9" s="678"/>
      <c r="P9" s="697"/>
    </row>
    <row r="10" spans="1:16">
      <c r="A10" s="679"/>
      <c r="B10" s="679"/>
      <c r="C10" s="684"/>
      <c r="D10" s="685"/>
      <c r="E10" s="692"/>
      <c r="F10" s="675"/>
      <c r="G10" s="675"/>
      <c r="H10" s="675"/>
      <c r="I10" s="675"/>
      <c r="J10" s="675"/>
      <c r="K10" s="675"/>
      <c r="L10" s="675"/>
      <c r="M10" s="675"/>
      <c r="N10" s="675"/>
      <c r="O10" s="679"/>
      <c r="P10" s="697"/>
    </row>
    <row r="11" spans="1:16" ht="18" customHeight="1">
      <c r="A11" s="123">
        <f>IF(OR($C$6="",$J$6="",$M$6=""),"",IF($B11="","",SUBTOTAL(3,$B$11:B11)))</f>
        <v>1</v>
      </c>
      <c r="B11" s="25" t="str">
        <f>IF(OR($C$6="",$J$6="",$M$6=""),"",IF(HKI!$B11="","",HKI!$B11))</f>
        <v>13D301Đ001</v>
      </c>
      <c r="C11" s="26" t="str">
        <f>IF(OR($C$6="",$J$6="",$M$6=""),"",IF(HKI!$C11="","",HKI!$C11))</f>
        <v>Lương Hoàng Thuận</v>
      </c>
      <c r="D11" s="27" t="str">
        <f>IF(OR($C$6="",$J$6="",$M$6=""),"",IF(HKI!$D11="","",HKI!$D11))</f>
        <v>An</v>
      </c>
      <c r="E11" s="467"/>
      <c r="F11" s="472">
        <v>3</v>
      </c>
      <c r="G11" s="472">
        <v>9</v>
      </c>
      <c r="H11" s="472">
        <v>7</v>
      </c>
      <c r="I11" s="472">
        <v>8</v>
      </c>
      <c r="J11" s="462"/>
      <c r="K11" s="462"/>
      <c r="L11" s="462"/>
      <c r="M11" s="462"/>
      <c r="N11" s="462"/>
      <c r="O11" s="198">
        <f>IF($B11="","",IF(OR($C$6="",$J$6="",$M$6=""),"",IF(ISNUMBER($E11)=TRUE,$E11,IF(COUNT($F11:$N11)=0,"",ROUND(SUM($F11:$N11)/COUNT($F11:$N11),1)))))</f>
        <v>6.8</v>
      </c>
      <c r="P11" s="214" t="str">
        <f>IF($B11="","",IF(OR($C$6="",$J$6="",$M$6=""),"",IF($O11="","KXL",IF($O11&lt;4,"Kém",IF($O11&lt;5.5,"TB Yếu",IF($O11&lt;7,"T.Bình",IF(O11&lt;8.5,"Khá","Giỏi")))))))</f>
        <v>T.Bình</v>
      </c>
    </row>
    <row r="12" spans="1:16" ht="18" customHeight="1">
      <c r="A12" s="123">
        <f>IF(OR($C$6="",$J$6="",$M$6=""),"",IF($B12="","",SUBTOTAL(3,$B$11:B12)))</f>
        <v>2</v>
      </c>
      <c r="B12" s="25" t="str">
        <f>IF(OR($C$6="",$J$6="",$M$6=""),"",IF(HKI!$B12="","",HKI!$B12))</f>
        <v>13D301Đ004</v>
      </c>
      <c r="C12" s="26" t="str">
        <f>IF(OR($C$6="",$J$6="",$M$6=""),"",IF(HKI!$C12="","",HKI!$C12))</f>
        <v>Đặng Thế</v>
      </c>
      <c r="D12" s="27" t="str">
        <f>IF(OR($C$6="",$J$6="",$M$6=""),"",IF(HKI!$D12="","",HKI!$D12))</f>
        <v>Anh</v>
      </c>
      <c r="E12" s="467"/>
      <c r="F12" s="472">
        <v>7</v>
      </c>
      <c r="G12" s="472">
        <v>5</v>
      </c>
      <c r="H12" s="472">
        <v>6</v>
      </c>
      <c r="I12" s="472">
        <v>7</v>
      </c>
      <c r="J12" s="462"/>
      <c r="K12" s="462"/>
      <c r="L12" s="462"/>
      <c r="M12" s="462"/>
      <c r="N12" s="462"/>
      <c r="O12" s="198">
        <f t="shared" ref="O12:O75" si="0">IF($B12="","",IF(OR($C$6="",$J$6="",$M$6=""),"",IF(ISNUMBER($E12)=TRUE,$E12,IF(COUNT($F12:$N12)=0,"",ROUND(SUM($F12:$N12)/COUNT($F12:$N12),1)))))</f>
        <v>6.3</v>
      </c>
      <c r="P12" s="214" t="str">
        <f t="shared" ref="P12:P75" si="1">IF($B12="","",IF(OR($C$6="",$J$6="",$M$6=""),"",IF($O12="","KXL",IF($O12&lt;4,"Kém",IF($O12&lt;5.5,"TB Yếu",IF($O12&lt;7,"T.Bình",IF(O12&lt;8.5,"Khá","Giỏi")))))))</f>
        <v>T.Bình</v>
      </c>
    </row>
    <row r="13" spans="1:16" ht="18" customHeight="1">
      <c r="A13" s="123">
        <f>IF(OR($C$6="",$J$6="",$M$6=""),"",IF($B13="","",SUBTOTAL(3,$B$11:B13)))</f>
        <v>3</v>
      </c>
      <c r="B13" s="25" t="str">
        <f>IF(OR($C$6="",$J$6="",$M$6=""),"",IF(HKI!$B13="","",HKI!$B13))</f>
        <v>13D301Đ149</v>
      </c>
      <c r="C13" s="26" t="str">
        <f>IF(OR($C$6="",$J$6="",$M$6=""),"",IF(HKI!$C13="","",HKI!$C13))</f>
        <v>Đỗ Huỳnh</v>
      </c>
      <c r="D13" s="27" t="str">
        <f>IF(OR($C$6="",$J$6="",$M$6=""),"",IF(HKI!$D13="","",HKI!$D13))</f>
        <v>Bảo</v>
      </c>
      <c r="E13" s="467"/>
      <c r="F13" s="472">
        <v>8</v>
      </c>
      <c r="G13" s="472">
        <v>6</v>
      </c>
      <c r="H13" s="472">
        <v>8</v>
      </c>
      <c r="I13" s="472">
        <v>8</v>
      </c>
      <c r="J13" s="462"/>
      <c r="K13" s="462"/>
      <c r="L13" s="462"/>
      <c r="M13" s="462"/>
      <c r="N13" s="462"/>
      <c r="O13" s="198">
        <f t="shared" si="0"/>
        <v>7.5</v>
      </c>
      <c r="P13" s="214" t="str">
        <f t="shared" si="1"/>
        <v>Khá</v>
      </c>
    </row>
    <row r="14" spans="1:16" ht="18" customHeight="1">
      <c r="A14" s="123">
        <f>IF(OR($C$6="",$J$6="",$M$6=""),"",IF($B14="","",SUBTOTAL(3,$B$11:B14)))</f>
        <v>4</v>
      </c>
      <c r="B14" s="25" t="str">
        <f>IF(OR($C$6="",$J$6="",$M$6=""),"",IF(HKI!$B14="","",HKI!$B14))</f>
        <v>13D301Đ008</v>
      </c>
      <c r="C14" s="26" t="str">
        <f>IF(OR($C$6="",$J$6="",$M$6=""),"",IF(HKI!$C14="","",HKI!$C14))</f>
        <v>Trương Vũ</v>
      </c>
      <c r="D14" s="27" t="str">
        <f>IF(OR($C$6="",$J$6="",$M$6=""),"",IF(HKI!$D14="","",HKI!$D14))</f>
        <v>Bảo</v>
      </c>
      <c r="E14" s="467"/>
      <c r="F14" s="472">
        <v>8</v>
      </c>
      <c r="G14" s="472">
        <v>7</v>
      </c>
      <c r="H14" s="472">
        <v>8</v>
      </c>
      <c r="I14" s="472">
        <v>8</v>
      </c>
      <c r="J14" s="462"/>
      <c r="K14" s="462"/>
      <c r="L14" s="462"/>
      <c r="M14" s="462"/>
      <c r="N14" s="462"/>
      <c r="O14" s="198">
        <f t="shared" si="0"/>
        <v>7.8</v>
      </c>
      <c r="P14" s="214" t="str">
        <f t="shared" si="1"/>
        <v>Khá</v>
      </c>
    </row>
    <row r="15" spans="1:16" ht="18" customHeight="1">
      <c r="A15" s="123">
        <f>IF(OR($C$6="",$J$6="",$M$6=""),"",IF($B15="","",SUBTOTAL(3,$B$11:B15)))</f>
        <v>5</v>
      </c>
      <c r="B15" s="25" t="str">
        <f>IF(OR($C$6="",$J$6="",$M$6=""),"",IF(HKI!$B15="","",HKI!$B15))</f>
        <v>13D301Đ009</v>
      </c>
      <c r="C15" s="26" t="str">
        <f>IF(OR($C$6="",$J$6="",$M$6=""),"",IF(HKI!$C15="","",HKI!$C15))</f>
        <v>Võ Thành</v>
      </c>
      <c r="D15" s="27" t="str">
        <f>IF(OR($C$6="",$J$6="",$M$6=""),"",IF(HKI!$D15="","",HKI!$D15))</f>
        <v>Bảo</v>
      </c>
      <c r="E15" s="467"/>
      <c r="F15" s="472">
        <v>7</v>
      </c>
      <c r="G15" s="472">
        <v>7</v>
      </c>
      <c r="H15" s="472">
        <v>6</v>
      </c>
      <c r="I15" s="472">
        <v>8</v>
      </c>
      <c r="J15" s="462"/>
      <c r="K15" s="462"/>
      <c r="L15" s="462"/>
      <c r="M15" s="462"/>
      <c r="N15" s="462"/>
      <c r="O15" s="198">
        <f t="shared" si="0"/>
        <v>7</v>
      </c>
      <c r="P15" s="214" t="str">
        <f t="shared" si="1"/>
        <v>Khá</v>
      </c>
    </row>
    <row r="16" spans="1:16" ht="18" customHeight="1">
      <c r="A16" s="123">
        <f>IF(OR($C$6="",$J$6="",$M$6=""),"",IF($B16="","",SUBTOTAL(3,$B$11:B16)))</f>
        <v>6</v>
      </c>
      <c r="B16" s="25" t="str">
        <f>IF(OR($C$6="",$J$6="",$M$6=""),"",IF(HKI!$B16="","",HKI!$B16))</f>
        <v>13D301Đ013</v>
      </c>
      <c r="C16" s="26" t="str">
        <f>IF(OR($C$6="",$J$6="",$M$6=""),"",IF(HKI!$C16="","",HKI!$C16))</f>
        <v>Nguyễn Chí</v>
      </c>
      <c r="D16" s="27" t="str">
        <f>IF(OR($C$6="",$J$6="",$M$6=""),"",IF(HKI!$D16="","",HKI!$D16))</f>
        <v>Bình</v>
      </c>
      <c r="E16" s="467"/>
      <c r="F16" s="472">
        <v>7</v>
      </c>
      <c r="G16" s="472">
        <v>7</v>
      </c>
      <c r="H16" s="472">
        <v>6</v>
      </c>
      <c r="I16" s="472">
        <v>8</v>
      </c>
      <c r="J16" s="462"/>
      <c r="K16" s="462"/>
      <c r="L16" s="462"/>
      <c r="M16" s="462"/>
      <c r="N16" s="462"/>
      <c r="O16" s="198">
        <f t="shared" si="0"/>
        <v>7</v>
      </c>
      <c r="P16" s="214" t="str">
        <f t="shared" si="1"/>
        <v>Khá</v>
      </c>
    </row>
    <row r="17" spans="1:16" ht="18" customHeight="1">
      <c r="A17" s="123">
        <f>IF(OR($C$6="",$J$6="",$M$6=""),"",IF($B17="","",SUBTOTAL(3,$B$11:B17)))</f>
        <v>7</v>
      </c>
      <c r="B17" s="25" t="str">
        <f>IF(OR($C$6="",$J$6="",$M$6=""),"",IF(HKI!$B17="","",HKI!$B17))</f>
        <v>13D301Đ016</v>
      </c>
      <c r="C17" s="26" t="str">
        <f>IF(OR($C$6="",$J$6="",$M$6=""),"",IF(HKI!$C17="","",HKI!$C17))</f>
        <v>Vũ Văn</v>
      </c>
      <c r="D17" s="27" t="str">
        <f>IF(OR($C$6="",$J$6="",$M$6=""),"",IF(HKI!$D17="","",HKI!$D17))</f>
        <v>Chiến</v>
      </c>
      <c r="E17" s="467"/>
      <c r="F17" s="472">
        <v>4</v>
      </c>
      <c r="G17" s="472">
        <v>7</v>
      </c>
      <c r="H17" s="472">
        <v>9</v>
      </c>
      <c r="I17" s="472">
        <v>7</v>
      </c>
      <c r="J17" s="462"/>
      <c r="K17" s="462"/>
      <c r="L17" s="462"/>
      <c r="M17" s="462"/>
      <c r="N17" s="462"/>
      <c r="O17" s="198">
        <f t="shared" si="0"/>
        <v>6.8</v>
      </c>
      <c r="P17" s="214" t="str">
        <f t="shared" si="1"/>
        <v>T.Bình</v>
      </c>
    </row>
    <row r="18" spans="1:16" ht="18" customHeight="1">
      <c r="A18" s="123">
        <f>IF(OR($C$6="",$J$6="",$M$6=""),"",IF($B18="","",SUBTOTAL(3,$B$11:B18)))</f>
        <v>8</v>
      </c>
      <c r="B18" s="25" t="str">
        <f>IF(OR($C$6="",$J$6="",$M$6=""),"",IF(HKI!$B18="","",HKI!$B18))</f>
        <v>13D301Đ017</v>
      </c>
      <c r="C18" s="26" t="str">
        <f>IF(OR($C$6="",$J$6="",$M$6=""),"",IF(HKI!$C18="","",HKI!$C18))</f>
        <v>Trần Văn</v>
      </c>
      <c r="D18" s="27" t="str">
        <f>IF(OR($C$6="",$J$6="",$M$6=""),"",IF(HKI!$D18="","",HKI!$D18))</f>
        <v>Chinh</v>
      </c>
      <c r="E18" s="467"/>
      <c r="F18" s="472">
        <v>6</v>
      </c>
      <c r="G18" s="472">
        <v>7</v>
      </c>
      <c r="H18" s="472">
        <v>6</v>
      </c>
      <c r="I18" s="472">
        <v>8</v>
      </c>
      <c r="J18" s="462"/>
      <c r="K18" s="462"/>
      <c r="L18" s="462"/>
      <c r="M18" s="462"/>
      <c r="N18" s="462"/>
      <c r="O18" s="198">
        <f t="shared" si="0"/>
        <v>6.8</v>
      </c>
      <c r="P18" s="214" t="str">
        <f t="shared" si="1"/>
        <v>T.Bình</v>
      </c>
    </row>
    <row r="19" spans="1:16" ht="18" customHeight="1">
      <c r="A19" s="123">
        <f>IF(OR($C$6="",$J$6="",$M$6=""),"",IF($B19="","",SUBTOTAL(3,$B$11:B19)))</f>
        <v>9</v>
      </c>
      <c r="B19" s="25" t="str">
        <f>IF(OR($C$6="",$J$6="",$M$6=""),"",IF(HKI!$B19="","",HKI!$B19))</f>
        <v>13D301Đ193</v>
      </c>
      <c r="C19" s="26" t="str">
        <f>IF(OR($C$6="",$J$6="",$M$6=""),"",IF(HKI!$C19="","",HKI!$C19))</f>
        <v>Phạm Công</v>
      </c>
      <c r="D19" s="27" t="str">
        <f>IF(OR($C$6="",$J$6="",$M$6=""),"",IF(HKI!$D19="","",HKI!$D19))</f>
        <v>Chính</v>
      </c>
      <c r="E19" s="467"/>
      <c r="F19" s="472">
        <v>6</v>
      </c>
      <c r="G19" s="472">
        <v>7</v>
      </c>
      <c r="H19" s="472">
        <v>6</v>
      </c>
      <c r="I19" s="472">
        <v>7</v>
      </c>
      <c r="J19" s="462"/>
      <c r="K19" s="462"/>
      <c r="L19" s="462"/>
      <c r="M19" s="462"/>
      <c r="N19" s="462"/>
      <c r="O19" s="198">
        <f t="shared" si="0"/>
        <v>6.5</v>
      </c>
      <c r="P19" s="214" t="str">
        <f t="shared" si="1"/>
        <v>T.Bình</v>
      </c>
    </row>
    <row r="20" spans="1:16" ht="18" customHeight="1">
      <c r="A20" s="123">
        <f>IF(OR($C$6="",$J$6="",$M$6=""),"",IF($B20="","",SUBTOTAL(3,$B$11:B20)))</f>
        <v>10</v>
      </c>
      <c r="B20" s="25" t="str">
        <f>IF(OR($C$6="",$J$6="",$M$6=""),"",IF(HKI!$B20="","",HKI!$B20))</f>
        <v>13D301Đ020</v>
      </c>
      <c r="C20" s="26" t="str">
        <f>IF(OR($C$6="",$J$6="",$M$6=""),"",IF(HKI!$C20="","",HKI!$C20))</f>
        <v>Trịnh Lê</v>
      </c>
      <c r="D20" s="27" t="str">
        <f>IF(OR($C$6="",$J$6="",$M$6=""),"",IF(HKI!$D20="","",HKI!$D20))</f>
        <v>Cung</v>
      </c>
      <c r="E20" s="467"/>
      <c r="F20" s="472">
        <v>8</v>
      </c>
      <c r="G20" s="472">
        <v>5</v>
      </c>
      <c r="H20" s="472">
        <v>8</v>
      </c>
      <c r="I20" s="472">
        <v>8</v>
      </c>
      <c r="J20" s="462"/>
      <c r="K20" s="462"/>
      <c r="L20" s="462"/>
      <c r="M20" s="462"/>
      <c r="N20" s="462"/>
      <c r="O20" s="198">
        <f t="shared" si="0"/>
        <v>7.3</v>
      </c>
      <c r="P20" s="214" t="str">
        <f t="shared" si="1"/>
        <v>Khá</v>
      </c>
    </row>
    <row r="21" spans="1:16" ht="18" customHeight="1">
      <c r="A21" s="123">
        <f>IF(OR($C$6="",$J$6="",$M$6=""),"",IF($B21="","",SUBTOTAL(3,$B$11:B21)))</f>
        <v>11</v>
      </c>
      <c r="B21" s="25" t="str">
        <f>IF(OR($C$6="",$J$6="",$M$6=""),"",IF(HKI!$B21="","",HKI!$B21))</f>
        <v>13D301Đ021</v>
      </c>
      <c r="C21" s="26" t="str">
        <f>IF(OR($C$6="",$J$6="",$M$6=""),"",IF(HKI!$C21="","",HKI!$C21))</f>
        <v>Nguyễn Chí</v>
      </c>
      <c r="D21" s="27" t="str">
        <f>IF(OR($C$6="",$J$6="",$M$6=""),"",IF(HKI!$D21="","",HKI!$D21))</f>
        <v>Cường</v>
      </c>
      <c r="E21" s="467"/>
      <c r="F21" s="472">
        <v>7</v>
      </c>
      <c r="G21" s="472">
        <v>6</v>
      </c>
      <c r="H21" s="472">
        <v>7</v>
      </c>
      <c r="I21" s="472">
        <v>7</v>
      </c>
      <c r="J21" s="462"/>
      <c r="K21" s="462"/>
      <c r="L21" s="462"/>
      <c r="M21" s="462"/>
      <c r="N21" s="462"/>
      <c r="O21" s="198">
        <f t="shared" si="0"/>
        <v>6.8</v>
      </c>
      <c r="P21" s="214" t="str">
        <f t="shared" si="1"/>
        <v>T.Bình</v>
      </c>
    </row>
    <row r="22" spans="1:16" ht="18" customHeight="1">
      <c r="A22" s="123">
        <f>IF(OR($C$6="",$J$6="",$M$6=""),"",IF($B22="","",SUBTOTAL(3,$B$11:B22)))</f>
        <v>12</v>
      </c>
      <c r="B22" s="25" t="str">
        <f>IF(OR($C$6="",$J$6="",$M$6=""),"",IF(HKI!$B22="","",HKI!$B22))</f>
        <v>13D301Đ033</v>
      </c>
      <c r="C22" s="26" t="str">
        <f>IF(OR($C$6="",$J$6="",$M$6=""),"",IF(HKI!$C22="","",HKI!$C22))</f>
        <v xml:space="preserve">Trương Văn </v>
      </c>
      <c r="D22" s="27" t="str">
        <f>IF(OR($C$6="",$J$6="",$M$6=""),"",IF(HKI!$D22="","",HKI!$D22))</f>
        <v>Đạt</v>
      </c>
      <c r="E22" s="467"/>
      <c r="F22" s="472">
        <v>2</v>
      </c>
      <c r="G22" s="472">
        <v>8</v>
      </c>
      <c r="H22" s="472">
        <v>7</v>
      </c>
      <c r="I22" s="472">
        <v>9</v>
      </c>
      <c r="J22" s="462"/>
      <c r="K22" s="462"/>
      <c r="L22" s="462"/>
      <c r="M22" s="462"/>
      <c r="N22" s="462"/>
      <c r="O22" s="198">
        <f t="shared" si="0"/>
        <v>6.5</v>
      </c>
      <c r="P22" s="214" t="str">
        <f t="shared" si="1"/>
        <v>T.Bình</v>
      </c>
    </row>
    <row r="23" spans="1:16" ht="18" customHeight="1">
      <c r="A23" s="123">
        <f>IF(OR($C$6="",$J$6="",$M$6=""),"",IF($B23="","",SUBTOTAL(3,$B$11:B23)))</f>
        <v>13</v>
      </c>
      <c r="B23" s="25" t="str">
        <f>IF(OR($C$6="",$J$6="",$M$6=""),"",IF(HKI!$B23="","",HKI!$B23))</f>
        <v>13D301Đ037</v>
      </c>
      <c r="C23" s="26" t="str">
        <f>IF(OR($C$6="",$J$6="",$M$6=""),"",IF(HKI!$C23="","",HKI!$C23))</f>
        <v>Nguyễn Thành</v>
      </c>
      <c r="D23" s="27" t="str">
        <f>IF(OR($C$6="",$J$6="",$M$6=""),"",IF(HKI!$D23="","",HKI!$D23))</f>
        <v>Đông</v>
      </c>
      <c r="E23" s="467"/>
      <c r="F23" s="472">
        <v>7</v>
      </c>
      <c r="G23" s="472">
        <v>6</v>
      </c>
      <c r="H23" s="472">
        <v>6</v>
      </c>
      <c r="I23" s="472">
        <v>8</v>
      </c>
      <c r="J23" s="462"/>
      <c r="K23" s="462"/>
      <c r="L23" s="462"/>
      <c r="M23" s="462"/>
      <c r="N23" s="462"/>
      <c r="O23" s="198">
        <f t="shared" si="0"/>
        <v>6.8</v>
      </c>
      <c r="P23" s="214" t="str">
        <f t="shared" si="1"/>
        <v>T.Bình</v>
      </c>
    </row>
    <row r="24" spans="1:16" ht="18" customHeight="1">
      <c r="A24" s="123">
        <f>IF(OR($C$6="",$J$6="",$M$6=""),"",IF($B24="","",SUBTOTAL(3,$B$11:B24)))</f>
        <v>14</v>
      </c>
      <c r="B24" s="25" t="str">
        <f>IF(OR($C$6="",$J$6="",$M$6=""),"",IF(HKI!$B24="","",HKI!$B24))</f>
        <v>13D301Đ024</v>
      </c>
      <c r="C24" s="26" t="str">
        <f>IF(OR($C$6="",$J$6="",$M$6=""),"",IF(HKI!$C24="","",HKI!$C24))</f>
        <v xml:space="preserve">Trương Công </v>
      </c>
      <c r="D24" s="27" t="str">
        <f>IF(OR($C$6="",$J$6="",$M$6=""),"",IF(HKI!$D24="","",HKI!$D24))</f>
        <v>Duẩn</v>
      </c>
      <c r="E24" s="467"/>
      <c r="F24" s="472">
        <v>8</v>
      </c>
      <c r="G24" s="472">
        <v>7</v>
      </c>
      <c r="H24" s="472">
        <v>8</v>
      </c>
      <c r="I24" s="472">
        <v>8</v>
      </c>
      <c r="J24" s="462"/>
      <c r="K24" s="462"/>
      <c r="L24" s="462"/>
      <c r="M24" s="462"/>
      <c r="N24" s="462"/>
      <c r="O24" s="198">
        <f t="shared" si="0"/>
        <v>7.8</v>
      </c>
      <c r="P24" s="214" t="str">
        <f t="shared" si="1"/>
        <v>Khá</v>
      </c>
    </row>
    <row r="25" spans="1:16" ht="18" customHeight="1">
      <c r="A25" s="123">
        <f>IF(OR($C$6="",$J$6="",$M$6=""),"",IF($B25="","",SUBTOTAL(3,$B$11:B25)))</f>
        <v>15</v>
      </c>
      <c r="B25" s="25" t="str">
        <f>IF(OR($C$6="",$J$6="",$M$6=""),"",IF(HKI!$B25="","",HKI!$B25))</f>
        <v>13D301Đ191</v>
      </c>
      <c r="C25" s="26" t="str">
        <f>IF(OR($C$6="",$J$6="",$M$6=""),"",IF(HKI!$C25="","",HKI!$C25))</f>
        <v>Nguyễn Hiền</v>
      </c>
      <c r="D25" s="27" t="str">
        <f>IF(OR($C$6="",$J$6="",$M$6=""),"",IF(HKI!$D25="","",HKI!$D25))</f>
        <v>Đức</v>
      </c>
      <c r="E25" s="467"/>
      <c r="F25" s="472">
        <v>7</v>
      </c>
      <c r="G25" s="472">
        <v>5</v>
      </c>
      <c r="H25" s="472">
        <v>8</v>
      </c>
      <c r="I25" s="472">
        <v>8</v>
      </c>
      <c r="J25" s="462"/>
      <c r="K25" s="462"/>
      <c r="L25" s="462"/>
      <c r="M25" s="462"/>
      <c r="N25" s="462"/>
      <c r="O25" s="198">
        <f t="shared" si="0"/>
        <v>7</v>
      </c>
      <c r="P25" s="214" t="str">
        <f t="shared" si="1"/>
        <v>Khá</v>
      </c>
    </row>
    <row r="26" spans="1:16" ht="18" customHeight="1">
      <c r="A26" s="123">
        <f>IF(OR($C$6="",$J$6="",$M$6=""),"",IF($B26="","",SUBTOTAL(3,$B$11:B26)))</f>
        <v>16</v>
      </c>
      <c r="B26" s="25" t="str">
        <f>IF(OR($C$6="",$J$6="",$M$6=""),"",IF(HKI!$B26="","",HKI!$B26))</f>
        <v>13D301Đ040</v>
      </c>
      <c r="C26" s="26" t="str">
        <f>IF(OR($C$6="",$J$6="",$M$6=""),"",IF(HKI!$C26="","",HKI!$C26))</f>
        <v>Nguyễn Văn</v>
      </c>
      <c r="D26" s="27" t="str">
        <f>IF(OR($C$6="",$J$6="",$M$6=""),"",IF(HKI!$D26="","",HKI!$D26))</f>
        <v>Đức</v>
      </c>
      <c r="E26" s="467"/>
      <c r="F26" s="472">
        <v>8</v>
      </c>
      <c r="G26" s="472">
        <v>6</v>
      </c>
      <c r="H26" s="472">
        <v>8</v>
      </c>
      <c r="I26" s="472">
        <v>8</v>
      </c>
      <c r="J26" s="462"/>
      <c r="K26" s="462"/>
      <c r="L26" s="462"/>
      <c r="M26" s="462"/>
      <c r="N26" s="462"/>
      <c r="O26" s="198">
        <f t="shared" si="0"/>
        <v>7.5</v>
      </c>
      <c r="P26" s="214" t="str">
        <f t="shared" si="1"/>
        <v>Khá</v>
      </c>
    </row>
    <row r="27" spans="1:16" ht="18" customHeight="1">
      <c r="A27" s="123">
        <f>IF(OR($C$6="",$J$6="",$M$6=""),"",IF($B27="","",SUBTOTAL(3,$B$11:B27)))</f>
        <v>17</v>
      </c>
      <c r="B27" s="25" t="str">
        <f>IF(OR($C$6="",$J$6="",$M$6=""),"",IF(HKI!$B27="","",HKI!$B27))</f>
        <v>13D301Đ025</v>
      </c>
      <c r="C27" s="26" t="str">
        <f>IF(OR($C$6="",$J$6="",$M$6=""),"",IF(HKI!$C27="","",HKI!$C27))</f>
        <v>Nguyễn Ngọc</v>
      </c>
      <c r="D27" s="27" t="str">
        <f>IF(OR($C$6="",$J$6="",$M$6=""),"",IF(HKI!$D27="","",HKI!$D27))</f>
        <v>Dũng</v>
      </c>
      <c r="E27" s="467"/>
      <c r="F27" s="472">
        <v>7</v>
      </c>
      <c r="G27" s="472">
        <v>6</v>
      </c>
      <c r="H27" s="472">
        <v>6</v>
      </c>
      <c r="I27" s="472">
        <v>7</v>
      </c>
      <c r="J27" s="462"/>
      <c r="K27" s="462"/>
      <c r="L27" s="462"/>
      <c r="M27" s="462"/>
      <c r="N27" s="462"/>
      <c r="O27" s="198">
        <f t="shared" si="0"/>
        <v>6.5</v>
      </c>
      <c r="P27" s="214" t="str">
        <f t="shared" si="1"/>
        <v>T.Bình</v>
      </c>
    </row>
    <row r="28" spans="1:16" ht="18" customHeight="1">
      <c r="A28" s="123">
        <f>IF(OR($C$6="",$J$6="",$M$6=""),"",IF($B28="","",SUBTOTAL(3,$B$11:B28)))</f>
        <v>18</v>
      </c>
      <c r="B28" s="25" t="str">
        <f>IF(OR($C$6="",$J$6="",$M$6=""),"",IF(HKI!$B28="","",HKI!$B28))</f>
        <v>13D301Đ192</v>
      </c>
      <c r="C28" s="26" t="str">
        <f>IF(OR($C$6="",$J$6="",$M$6=""),"",IF(HKI!$C28="","",HKI!$C28))</f>
        <v>Cao Trùng</v>
      </c>
      <c r="D28" s="27" t="str">
        <f>IF(OR($C$6="",$J$6="",$M$6=""),"",IF(HKI!$D28="","",HKI!$D28))</f>
        <v>Dương</v>
      </c>
      <c r="E28" s="467"/>
      <c r="F28" s="472">
        <v>8</v>
      </c>
      <c r="G28" s="472">
        <v>7</v>
      </c>
      <c r="H28" s="472">
        <v>8</v>
      </c>
      <c r="I28" s="472">
        <v>8</v>
      </c>
      <c r="J28" s="462"/>
      <c r="K28" s="462"/>
      <c r="L28" s="462"/>
      <c r="M28" s="462"/>
      <c r="N28" s="462"/>
      <c r="O28" s="198">
        <f t="shared" si="0"/>
        <v>7.8</v>
      </c>
      <c r="P28" s="214" t="str">
        <f t="shared" si="1"/>
        <v>Khá</v>
      </c>
    </row>
    <row r="29" spans="1:16" ht="18" customHeight="1">
      <c r="A29" s="123">
        <f>IF(OR($C$6="",$J$6="",$M$6=""),"",IF($B29="","",SUBTOTAL(3,$B$11:B29)))</f>
        <v>19</v>
      </c>
      <c r="B29" s="25" t="str">
        <f>IF(OR($C$6="",$J$6="",$M$6=""),"",IF(HKI!$B29="","",HKI!$B29))</f>
        <v>13D301Đ028</v>
      </c>
      <c r="C29" s="26" t="str">
        <f>IF(OR($C$6="",$J$6="",$M$6=""),"",IF(HKI!$C29="","",HKI!$C29))</f>
        <v>Hoàng Văn</v>
      </c>
      <c r="D29" s="27" t="str">
        <f>IF(OR($C$6="",$J$6="",$M$6=""),"",IF(HKI!$D29="","",HKI!$D29))</f>
        <v>Duy</v>
      </c>
      <c r="E29" s="467"/>
      <c r="F29" s="472">
        <v>6</v>
      </c>
      <c r="G29" s="472">
        <v>7</v>
      </c>
      <c r="H29" s="472">
        <v>5</v>
      </c>
      <c r="I29" s="472">
        <v>8</v>
      </c>
      <c r="J29" s="462"/>
      <c r="K29" s="462"/>
      <c r="L29" s="462"/>
      <c r="M29" s="462"/>
      <c r="N29" s="462"/>
      <c r="O29" s="198">
        <f t="shared" si="0"/>
        <v>6.5</v>
      </c>
      <c r="P29" s="214" t="str">
        <f t="shared" si="1"/>
        <v>T.Bình</v>
      </c>
    </row>
    <row r="30" spans="1:16" ht="18" customHeight="1">
      <c r="A30" s="123">
        <f>IF(OR($C$6="",$J$6="",$M$6=""),"",IF($B30="","",SUBTOTAL(3,$B$11:B30)))</f>
        <v>20</v>
      </c>
      <c r="B30" s="25" t="str">
        <f>IF(OR($C$6="",$J$6="",$M$6=""),"",IF(HKI!$B30="","",HKI!$B30))</f>
        <v>13D301Đ181</v>
      </c>
      <c r="C30" s="26" t="str">
        <f>IF(OR($C$6="",$J$6="",$M$6=""),"",IF(HKI!$C30="","",HKI!$C30))</f>
        <v>Lâm Văn</v>
      </c>
      <c r="D30" s="27" t="str">
        <f>IF(OR($C$6="",$J$6="",$M$6=""),"",IF(HKI!$D30="","",HKI!$D30))</f>
        <v>Duy</v>
      </c>
      <c r="E30" s="467"/>
      <c r="F30" s="472">
        <v>5</v>
      </c>
      <c r="G30" s="472">
        <v>5</v>
      </c>
      <c r="H30" s="472">
        <v>8</v>
      </c>
      <c r="I30" s="472">
        <v>8</v>
      </c>
      <c r="J30" s="462"/>
      <c r="K30" s="462"/>
      <c r="L30" s="462"/>
      <c r="M30" s="462"/>
      <c r="N30" s="462"/>
      <c r="O30" s="198">
        <f t="shared" si="0"/>
        <v>6.5</v>
      </c>
      <c r="P30" s="214" t="str">
        <f t="shared" si="1"/>
        <v>T.Bình</v>
      </c>
    </row>
    <row r="31" spans="1:16" ht="18" customHeight="1">
      <c r="A31" s="123">
        <f>IF(OR($C$6="",$J$6="",$M$6=""),"",IF($B31="","",SUBTOTAL(3,$B$11:B31)))</f>
        <v>21</v>
      </c>
      <c r="B31" s="25" t="str">
        <f>IF(OR($C$6="",$J$6="",$M$6=""),"",IF(HKI!$B31="","",HKI!$B31))</f>
        <v>13D301Đ041</v>
      </c>
      <c r="C31" s="26" t="str">
        <f>IF(OR($C$6="",$J$6="",$M$6=""),"",IF(HKI!$C31="","",HKI!$C31))</f>
        <v>Lê Hoàng</v>
      </c>
      <c r="D31" s="27" t="str">
        <f>IF(OR($C$6="",$J$6="",$M$6=""),"",IF(HKI!$D31="","",HKI!$D31))</f>
        <v>Giang</v>
      </c>
      <c r="E31" s="467"/>
      <c r="F31" s="472">
        <v>7</v>
      </c>
      <c r="G31" s="472">
        <v>6</v>
      </c>
      <c r="H31" s="472">
        <v>7</v>
      </c>
      <c r="I31" s="472">
        <v>7</v>
      </c>
      <c r="J31" s="462"/>
      <c r="K31" s="462"/>
      <c r="L31" s="462"/>
      <c r="M31" s="462"/>
      <c r="N31" s="462"/>
      <c r="O31" s="198">
        <f t="shared" si="0"/>
        <v>6.8</v>
      </c>
      <c r="P31" s="214" t="str">
        <f t="shared" si="1"/>
        <v>T.Bình</v>
      </c>
    </row>
    <row r="32" spans="1:16" ht="18" customHeight="1">
      <c r="A32" s="123">
        <f>IF(OR($C$6="",$J$6="",$M$6=""),"",IF($B32="","",SUBTOTAL(3,$B$11:B32)))</f>
        <v>22</v>
      </c>
      <c r="B32" s="25" t="str">
        <f>IF(OR($C$6="",$J$6="",$M$6=""),"",IF(HKI!$B32="","",HKI!$B32))</f>
        <v>13D301Đ045</v>
      </c>
      <c r="C32" s="26" t="str">
        <f>IF(OR($C$6="",$J$6="",$M$6=""),"",IF(HKI!$C32="","",HKI!$C32))</f>
        <v>Lê Công</v>
      </c>
      <c r="D32" s="27" t="str">
        <f>IF(OR($C$6="",$J$6="",$M$6=""),"",IF(HKI!$D32="","",HKI!$D32))</f>
        <v>Hậu</v>
      </c>
      <c r="E32" s="467"/>
      <c r="F32" s="472">
        <v>7</v>
      </c>
      <c r="G32" s="472">
        <v>6</v>
      </c>
      <c r="H32" s="472">
        <v>7</v>
      </c>
      <c r="I32" s="472">
        <v>7</v>
      </c>
      <c r="J32" s="462"/>
      <c r="K32" s="462"/>
      <c r="L32" s="462"/>
      <c r="M32" s="462"/>
      <c r="N32" s="462"/>
      <c r="O32" s="198">
        <f t="shared" si="0"/>
        <v>6.8</v>
      </c>
      <c r="P32" s="214" t="str">
        <f t="shared" si="1"/>
        <v>T.Bình</v>
      </c>
    </row>
    <row r="33" spans="1:16" ht="18" customHeight="1">
      <c r="A33" s="123">
        <f>IF(OR($C$6="",$J$6="",$M$6=""),"",IF($B33="","",SUBTOTAL(3,$B$11:B33)))</f>
        <v>23</v>
      </c>
      <c r="B33" s="25" t="str">
        <f>IF(OR($C$6="",$J$6="",$M$6=""),"",IF(HKI!$B33="","",HKI!$B33))</f>
        <v>13D301Đ048</v>
      </c>
      <c r="C33" s="26" t="str">
        <f>IF(OR($C$6="",$J$6="",$M$6=""),"",IF(HKI!$C33="","",HKI!$C33))</f>
        <v>Hồ Văn</v>
      </c>
      <c r="D33" s="27" t="str">
        <f>IF(OR($C$6="",$J$6="",$M$6=""),"",IF(HKI!$D33="","",HKI!$D33))</f>
        <v>Hiệp</v>
      </c>
      <c r="E33" s="467"/>
      <c r="F33" s="472">
        <v>8</v>
      </c>
      <c r="G33" s="472">
        <v>6</v>
      </c>
      <c r="H33" s="472">
        <v>8</v>
      </c>
      <c r="I33" s="472">
        <v>8</v>
      </c>
      <c r="J33" s="462"/>
      <c r="K33" s="462"/>
      <c r="L33" s="462"/>
      <c r="M33" s="462"/>
      <c r="N33" s="462"/>
      <c r="O33" s="198">
        <f t="shared" si="0"/>
        <v>7.5</v>
      </c>
      <c r="P33" s="214" t="str">
        <f t="shared" si="1"/>
        <v>Khá</v>
      </c>
    </row>
    <row r="34" spans="1:16" ht="18" customHeight="1">
      <c r="A34" s="123">
        <f>IF(OR($C$6="",$J$6="",$M$6=""),"",IF($B34="","",SUBTOTAL(3,$B$11:B34)))</f>
        <v>24</v>
      </c>
      <c r="B34" s="25" t="str">
        <f>IF(OR($C$6="",$J$6="",$M$6=""),"",IF(HKI!$B34="","",HKI!$B34))</f>
        <v>13D301Đ049</v>
      </c>
      <c r="C34" s="26" t="str">
        <f>IF(OR($C$6="",$J$6="",$M$6=""),"",IF(HKI!$C34="","",HKI!$C34))</f>
        <v>Lê Minh</v>
      </c>
      <c r="D34" s="27" t="str">
        <f>IF(OR($C$6="",$J$6="",$M$6=""),"",IF(HKI!$D34="","",HKI!$D34))</f>
        <v>Hiếu</v>
      </c>
      <c r="E34" s="467"/>
      <c r="F34" s="472">
        <v>7</v>
      </c>
      <c r="G34" s="472">
        <v>6</v>
      </c>
      <c r="H34" s="472">
        <v>7</v>
      </c>
      <c r="I34" s="472">
        <v>7</v>
      </c>
      <c r="J34" s="462"/>
      <c r="K34" s="462"/>
      <c r="L34" s="462"/>
      <c r="M34" s="462"/>
      <c r="N34" s="462"/>
      <c r="O34" s="198">
        <f t="shared" si="0"/>
        <v>6.8</v>
      </c>
      <c r="P34" s="214" t="str">
        <f t="shared" si="1"/>
        <v>T.Bình</v>
      </c>
    </row>
    <row r="35" spans="1:16" ht="18" customHeight="1">
      <c r="A35" s="123">
        <f>IF(OR($C$6="",$J$6="",$M$6=""),"",IF($B35="","",SUBTOTAL(3,$B$11:B35)))</f>
        <v>25</v>
      </c>
      <c r="B35" s="25" t="str">
        <f>IF(OR($C$6="",$J$6="",$M$6=""),"",IF(HKI!$B35="","",HKI!$B35))</f>
        <v>13D301Đ053</v>
      </c>
      <c r="C35" s="26" t="str">
        <f>IF(OR($C$6="",$J$6="",$M$6=""),"",IF(HKI!$C35="","",HKI!$C35))</f>
        <v>Nguyễn Ngọc</v>
      </c>
      <c r="D35" s="27" t="str">
        <f>IF(OR($C$6="",$J$6="",$M$6=""),"",IF(HKI!$D35="","",HKI!$D35))</f>
        <v>Hoài</v>
      </c>
      <c r="E35" s="467"/>
      <c r="F35" s="472">
        <v>7</v>
      </c>
      <c r="G35" s="472">
        <v>7</v>
      </c>
      <c r="H35" s="472">
        <v>6</v>
      </c>
      <c r="I35" s="472">
        <v>9</v>
      </c>
      <c r="J35" s="462"/>
      <c r="K35" s="462"/>
      <c r="L35" s="462"/>
      <c r="M35" s="462"/>
      <c r="N35" s="462"/>
      <c r="O35" s="198">
        <f t="shared" si="0"/>
        <v>7.3</v>
      </c>
      <c r="P35" s="214" t="str">
        <f t="shared" si="1"/>
        <v>Khá</v>
      </c>
    </row>
    <row r="36" spans="1:16" ht="18" customHeight="1">
      <c r="A36" s="123">
        <f>IF(OR($C$6="",$J$6="",$M$6=""),"",IF($B36="","",SUBTOTAL(3,$B$11:B36)))</f>
        <v>26</v>
      </c>
      <c r="B36" s="25" t="str">
        <f>IF(OR($C$6="",$J$6="",$M$6=""),"",IF(HKI!$B36="","",HKI!$B36))</f>
        <v>13D301Đ056</v>
      </c>
      <c r="C36" s="26" t="str">
        <f>IF(OR($C$6="",$J$6="",$M$6=""),"",IF(HKI!$C36="","",HKI!$C36))</f>
        <v>Trần Huy</v>
      </c>
      <c r="D36" s="27" t="str">
        <f>IF(OR($C$6="",$J$6="",$M$6=""),"",IF(HKI!$D36="","",HKI!$D36))</f>
        <v>Hoàng</v>
      </c>
      <c r="E36" s="467"/>
      <c r="F36" s="472">
        <v>8</v>
      </c>
      <c r="G36" s="472">
        <v>6</v>
      </c>
      <c r="H36" s="472">
        <v>6</v>
      </c>
      <c r="I36" s="472">
        <v>8</v>
      </c>
      <c r="J36" s="462"/>
      <c r="K36" s="462"/>
      <c r="L36" s="462"/>
      <c r="M36" s="462"/>
      <c r="N36" s="462"/>
      <c r="O36" s="198">
        <f t="shared" si="0"/>
        <v>7</v>
      </c>
      <c r="P36" s="214" t="str">
        <f t="shared" si="1"/>
        <v>Khá</v>
      </c>
    </row>
    <row r="37" spans="1:16" ht="18" customHeight="1">
      <c r="A37" s="123">
        <f>IF(OR($C$6="",$J$6="",$M$6=""),"",IF($B37="","",SUBTOTAL(3,$B$11:B37)))</f>
        <v>27</v>
      </c>
      <c r="B37" s="25" t="str">
        <f>IF(OR($C$6="",$J$6="",$M$6=""),"",IF(HKI!$B37="","",HKI!$B37))</f>
        <v>13D301Đ057</v>
      </c>
      <c r="C37" s="26" t="str">
        <f>IF(OR($C$6="",$J$6="",$M$6=""),"",IF(HKI!$C37="","",HKI!$C37))</f>
        <v>Trịnh Thanh</v>
      </c>
      <c r="D37" s="27" t="str">
        <f>IF(OR($C$6="",$J$6="",$M$6=""),"",IF(HKI!$D37="","",HKI!$D37))</f>
        <v>Hoàng</v>
      </c>
      <c r="E37" s="467"/>
      <c r="F37" s="472">
        <v>10</v>
      </c>
      <c r="G37" s="472">
        <v>6</v>
      </c>
      <c r="H37" s="472">
        <v>9</v>
      </c>
      <c r="I37" s="472">
        <v>8</v>
      </c>
      <c r="J37" s="462"/>
      <c r="K37" s="462"/>
      <c r="L37" s="462"/>
      <c r="M37" s="462"/>
      <c r="N37" s="462"/>
      <c r="O37" s="198">
        <f t="shared" si="0"/>
        <v>8.3000000000000007</v>
      </c>
      <c r="P37" s="214" t="str">
        <f t="shared" si="1"/>
        <v>Khá</v>
      </c>
    </row>
    <row r="38" spans="1:16" ht="18" customHeight="1">
      <c r="A38" s="123">
        <f>IF(OR($C$6="",$J$6="",$M$6=""),"",IF($B38="","",SUBTOTAL(3,$B$11:B38)))</f>
        <v>28</v>
      </c>
      <c r="B38" s="25" t="str">
        <f>IF(OR($C$6="",$J$6="",$M$6=""),"",IF(HKI!$B38="","",HKI!$B38))</f>
        <v>13D301Đ201</v>
      </c>
      <c r="C38" s="26" t="str">
        <f>IF(OR($C$6="",$J$6="",$M$6=""),"",IF(HKI!$C38="","",HKI!$C38))</f>
        <v>Nguyễn Quang</v>
      </c>
      <c r="D38" s="27" t="str">
        <f>IF(OR($C$6="",$J$6="",$M$6=""),"",IF(HKI!$D38="","",HKI!$D38))</f>
        <v>Huân</v>
      </c>
      <c r="E38" s="467"/>
      <c r="F38" s="472">
        <v>0</v>
      </c>
      <c r="G38" s="472">
        <v>0</v>
      </c>
      <c r="H38" s="472">
        <v>0</v>
      </c>
      <c r="I38" s="472">
        <v>0</v>
      </c>
      <c r="J38" s="462"/>
      <c r="K38" s="462"/>
      <c r="L38" s="462"/>
      <c r="M38" s="462"/>
      <c r="N38" s="462"/>
      <c r="O38" s="198">
        <f t="shared" si="0"/>
        <v>0</v>
      </c>
      <c r="P38" s="214" t="str">
        <f t="shared" si="1"/>
        <v>Kém</v>
      </c>
    </row>
    <row r="39" spans="1:16" ht="18" customHeight="1">
      <c r="A39" s="123">
        <f>IF(OR($C$6="",$J$6="",$M$6=""),"",IF($B39="","",SUBTOTAL(3,$B$11:B39)))</f>
        <v>29</v>
      </c>
      <c r="B39" s="25" t="str">
        <f>IF(OR($C$6="",$J$6="",$M$6=""),"",IF(HKI!$B39="","",HKI!$B39))</f>
        <v>13D301Đ061</v>
      </c>
      <c r="C39" s="26" t="str">
        <f>IF(OR($C$6="",$J$6="",$M$6=""),"",IF(HKI!$C39="","",HKI!$C39))</f>
        <v>Huỳnh Thanh</v>
      </c>
      <c r="D39" s="27" t="str">
        <f>IF(OR($C$6="",$J$6="",$M$6=""),"",IF(HKI!$D39="","",HKI!$D39))</f>
        <v>Hùng</v>
      </c>
      <c r="E39" s="467"/>
      <c r="F39" s="472">
        <v>6</v>
      </c>
      <c r="G39" s="472">
        <v>2</v>
      </c>
      <c r="H39" s="472">
        <v>5</v>
      </c>
      <c r="I39" s="472">
        <v>9</v>
      </c>
      <c r="J39" s="462"/>
      <c r="K39" s="462"/>
      <c r="L39" s="462"/>
      <c r="M39" s="462"/>
      <c r="N39" s="462"/>
      <c r="O39" s="198">
        <f t="shared" si="0"/>
        <v>5.5</v>
      </c>
      <c r="P39" s="214" t="str">
        <f t="shared" si="1"/>
        <v>T.Bình</v>
      </c>
    </row>
    <row r="40" spans="1:16" ht="18" customHeight="1">
      <c r="A40" s="123">
        <f>IF(OR($C$6="",$J$6="",$M$6=""),"",IF($B40="","",SUBTOTAL(3,$B$11:B40)))</f>
        <v>30</v>
      </c>
      <c r="B40" s="25" t="str">
        <f>IF(OR($C$6="",$J$6="",$M$6=""),"",IF(HKI!$B40="","",HKI!$B40))</f>
        <v>13D301Đ065</v>
      </c>
      <c r="C40" s="26" t="str">
        <f>IF(OR($C$6="",$J$6="",$M$6=""),"",IF(HKI!$C40="","",HKI!$C40))</f>
        <v>Đoàn Lê Xuân</v>
      </c>
      <c r="D40" s="27" t="str">
        <f>IF(OR($C$6="",$J$6="",$M$6=""),"",IF(HKI!$D40="","",HKI!$D40))</f>
        <v>Huy</v>
      </c>
      <c r="E40" s="467"/>
      <c r="F40" s="472">
        <v>5</v>
      </c>
      <c r="G40" s="472">
        <v>9</v>
      </c>
      <c r="H40" s="472">
        <v>10</v>
      </c>
      <c r="I40" s="472">
        <v>8</v>
      </c>
      <c r="J40" s="462"/>
      <c r="K40" s="462"/>
      <c r="L40" s="462"/>
      <c r="M40" s="462"/>
      <c r="N40" s="462"/>
      <c r="O40" s="198">
        <f t="shared" si="0"/>
        <v>8</v>
      </c>
      <c r="P40" s="214" t="str">
        <f t="shared" si="1"/>
        <v>Khá</v>
      </c>
    </row>
    <row r="41" spans="1:16" ht="18" customHeight="1">
      <c r="A41" s="123">
        <f>IF(OR($C$6="",$J$6="",$M$6=""),"",IF($B41="","",SUBTOTAL(3,$B$11:B41)))</f>
        <v>31</v>
      </c>
      <c r="B41" s="25" t="str">
        <f>IF(OR($C$6="",$J$6="",$M$6=""),"",IF(HKI!$B41="","",HKI!$B41))</f>
        <v>13D301Đ073</v>
      </c>
      <c r="C41" s="26" t="str">
        <f>IF(OR($C$6="",$J$6="",$M$6=""),"",IF(HKI!$C41="","",HKI!$C41))</f>
        <v>Trịnh Đại</v>
      </c>
      <c r="D41" s="27" t="str">
        <f>IF(OR($C$6="",$J$6="",$M$6=""),"",IF(HKI!$D41="","",HKI!$D41))</f>
        <v>Lăng</v>
      </c>
      <c r="E41" s="467"/>
      <c r="F41" s="472">
        <v>3</v>
      </c>
      <c r="G41" s="472">
        <v>5</v>
      </c>
      <c r="H41" s="472">
        <v>7</v>
      </c>
      <c r="I41" s="472">
        <v>6</v>
      </c>
      <c r="J41" s="462"/>
      <c r="K41" s="462"/>
      <c r="L41" s="462"/>
      <c r="M41" s="462"/>
      <c r="N41" s="462"/>
      <c r="O41" s="198">
        <f t="shared" si="0"/>
        <v>5.3</v>
      </c>
      <c r="P41" s="214" t="str">
        <f t="shared" si="1"/>
        <v>TB Yếu</v>
      </c>
    </row>
    <row r="42" spans="1:16" ht="18" customHeight="1">
      <c r="A42" s="123">
        <f>IF(OR($C$6="",$J$6="",$M$6=""),"",IF($B42="","",SUBTOTAL(3,$B$11:B42)))</f>
        <v>32</v>
      </c>
      <c r="B42" s="25" t="str">
        <f>IF(OR($C$6="",$J$6="",$M$6=""),"",IF(HKI!$B42="","",HKI!$B42))</f>
        <v>13D301Đ204</v>
      </c>
      <c r="C42" s="26" t="str">
        <f>IF(OR($C$6="",$J$6="",$M$6=""),"",IF(HKI!$C42="","",HKI!$C42))</f>
        <v>Nguyễn Khánh</v>
      </c>
      <c r="D42" s="27" t="str">
        <f>IF(OR($C$6="",$J$6="",$M$6=""),"",IF(HKI!$D42="","",HKI!$D42))</f>
        <v>Linh</v>
      </c>
      <c r="E42" s="467"/>
      <c r="F42" s="472">
        <v>6</v>
      </c>
      <c r="G42" s="472">
        <v>8</v>
      </c>
      <c r="H42" s="472">
        <v>7</v>
      </c>
      <c r="I42" s="472">
        <v>8</v>
      </c>
      <c r="J42" s="462"/>
      <c r="K42" s="462"/>
      <c r="L42" s="462"/>
      <c r="M42" s="462"/>
      <c r="N42" s="462"/>
      <c r="O42" s="198">
        <f t="shared" si="0"/>
        <v>7.3</v>
      </c>
      <c r="P42" s="214" t="str">
        <f t="shared" si="1"/>
        <v>Khá</v>
      </c>
    </row>
    <row r="43" spans="1:16" ht="18" customHeight="1">
      <c r="A43" s="123">
        <f>IF(OR($C$6="",$J$6="",$M$6=""),"",IF($B43="","",SUBTOTAL(3,$B$11:B43)))</f>
        <v>33</v>
      </c>
      <c r="B43" s="25" t="str">
        <f>IF(OR($C$6="",$J$6="",$M$6=""),"",IF(HKI!$B43="","",HKI!$B43))</f>
        <v>13D301Đ162</v>
      </c>
      <c r="C43" s="26" t="str">
        <f>IF(OR($C$6="",$J$6="",$M$6=""),"",IF(HKI!$C43="","",HKI!$C43))</f>
        <v>Đỗ Văn</v>
      </c>
      <c r="D43" s="27" t="str">
        <f>IF(OR($C$6="",$J$6="",$M$6=""),"",IF(HKI!$D43="","",HKI!$D43))</f>
        <v>Lượng</v>
      </c>
      <c r="E43" s="467"/>
      <c r="F43" s="472">
        <v>4</v>
      </c>
      <c r="G43" s="472">
        <v>8</v>
      </c>
      <c r="H43" s="472">
        <v>7</v>
      </c>
      <c r="I43" s="472">
        <v>8</v>
      </c>
      <c r="J43" s="462"/>
      <c r="K43" s="462"/>
      <c r="L43" s="462"/>
      <c r="M43" s="462"/>
      <c r="N43" s="462"/>
      <c r="O43" s="198">
        <f t="shared" si="0"/>
        <v>6.8</v>
      </c>
      <c r="P43" s="214" t="str">
        <f t="shared" si="1"/>
        <v>T.Bình</v>
      </c>
    </row>
    <row r="44" spans="1:16" ht="18" customHeight="1">
      <c r="A44" s="123">
        <f>IF(OR($C$6="",$J$6="",$M$6=""),"",IF($B44="","",SUBTOTAL(3,$B$11:B44)))</f>
        <v>34</v>
      </c>
      <c r="B44" s="25" t="str">
        <f>IF(OR($C$6="",$J$6="",$M$6=""),"",IF(HKI!$B44="","",HKI!$B44))</f>
        <v>13D301Đ081</v>
      </c>
      <c r="C44" s="26" t="str">
        <f>IF(OR($C$6="",$J$6="",$M$6=""),"",IF(HKI!$C44="","",HKI!$C44))</f>
        <v>Mai Đình</v>
      </c>
      <c r="D44" s="27" t="str">
        <f>IF(OR($C$6="",$J$6="",$M$6=""),"",IF(HKI!$D44="","",HKI!$D44))</f>
        <v>Luyện</v>
      </c>
      <c r="E44" s="467"/>
      <c r="F44" s="472">
        <v>3</v>
      </c>
      <c r="G44" s="472">
        <v>1</v>
      </c>
      <c r="H44" s="472">
        <v>4</v>
      </c>
      <c r="I44" s="472">
        <v>8</v>
      </c>
      <c r="J44" s="462"/>
      <c r="K44" s="462"/>
      <c r="L44" s="462"/>
      <c r="M44" s="462"/>
      <c r="N44" s="462"/>
      <c r="O44" s="198">
        <f t="shared" si="0"/>
        <v>4</v>
      </c>
      <c r="P44" s="214" t="str">
        <f t="shared" si="1"/>
        <v>TB Yếu</v>
      </c>
    </row>
    <row r="45" spans="1:16" ht="18" customHeight="1">
      <c r="A45" s="123">
        <f>IF(OR($C$6="",$J$6="",$M$6=""),"",IF($B45="","",SUBTOTAL(3,$B$11:B45)))</f>
        <v>35</v>
      </c>
      <c r="B45" s="25" t="str">
        <f>IF(OR($C$6="",$J$6="",$M$6=""),"",IF(HKI!$B45="","",HKI!$B45))</f>
        <v>13D301Đ085</v>
      </c>
      <c r="C45" s="26" t="str">
        <f>IF(OR($C$6="",$J$6="",$M$6=""),"",IF(HKI!$C45="","",HKI!$C45))</f>
        <v>Võ Hoài</v>
      </c>
      <c r="D45" s="27" t="str">
        <f>IF(OR($C$6="",$J$6="",$M$6=""),"",IF(HKI!$D45="","",HKI!$D45))</f>
        <v>Nam</v>
      </c>
      <c r="E45" s="467"/>
      <c r="F45" s="472">
        <v>2</v>
      </c>
      <c r="G45" s="472">
        <v>6</v>
      </c>
      <c r="H45" s="472">
        <v>8</v>
      </c>
      <c r="I45" s="472">
        <v>8</v>
      </c>
      <c r="J45" s="462"/>
      <c r="K45" s="462"/>
      <c r="L45" s="462"/>
      <c r="M45" s="462"/>
      <c r="N45" s="462"/>
      <c r="O45" s="198">
        <f t="shared" si="0"/>
        <v>6</v>
      </c>
      <c r="P45" s="214" t="str">
        <f t="shared" si="1"/>
        <v>T.Bình</v>
      </c>
    </row>
    <row r="46" spans="1:16" ht="18" customHeight="1">
      <c r="A46" s="123">
        <f>IF(OR($C$6="",$J$6="",$M$6=""),"",IF($B46="","",SUBTOTAL(3,$B$11:B46)))</f>
        <v>36</v>
      </c>
      <c r="B46" s="25" t="str">
        <f>IF(OR($C$6="",$J$6="",$M$6=""),"",IF(HKI!$B46="","",HKI!$B46))</f>
        <v>13D301Đ089</v>
      </c>
      <c r="C46" s="26" t="str">
        <f>IF(OR($C$6="",$J$6="",$M$6=""),"",IF(HKI!$C46="","",HKI!$C46))</f>
        <v>Nguyễn Hữu</v>
      </c>
      <c r="D46" s="27" t="str">
        <f>IF(OR($C$6="",$J$6="",$M$6=""),"",IF(HKI!$D46="","",HKI!$D46))</f>
        <v>Nghĩa</v>
      </c>
      <c r="E46" s="467"/>
      <c r="F46" s="472">
        <v>3</v>
      </c>
      <c r="G46" s="472">
        <v>10</v>
      </c>
      <c r="H46" s="472">
        <v>7</v>
      </c>
      <c r="I46" s="472">
        <v>9</v>
      </c>
      <c r="J46" s="462"/>
      <c r="K46" s="462"/>
      <c r="L46" s="462"/>
      <c r="M46" s="462"/>
      <c r="N46" s="462"/>
      <c r="O46" s="198">
        <f t="shared" si="0"/>
        <v>7.3</v>
      </c>
      <c r="P46" s="214" t="str">
        <f t="shared" si="1"/>
        <v>Khá</v>
      </c>
    </row>
    <row r="47" spans="1:16" ht="18" customHeight="1">
      <c r="A47" s="123">
        <f>IF(OR($C$6="",$J$6="",$M$6=""),"",IF($B47="","",SUBTOTAL(3,$B$11:B47)))</f>
        <v>37</v>
      </c>
      <c r="B47" s="25" t="str">
        <f>IF(OR($C$6="",$J$6="",$M$6=""),"",IF(HKI!$B47="","",HKI!$B47))</f>
        <v>13D301Đ097</v>
      </c>
      <c r="C47" s="26" t="str">
        <f>IF(OR($C$6="",$J$6="",$M$6=""),"",IF(HKI!$C47="","",HKI!$C47))</f>
        <v>Nguyễn Thành</v>
      </c>
      <c r="D47" s="27" t="str">
        <f>IF(OR($C$6="",$J$6="",$M$6=""),"",IF(HKI!$D47="","",HKI!$D47))</f>
        <v>Phát</v>
      </c>
      <c r="E47" s="467"/>
      <c r="F47" s="472">
        <v>9</v>
      </c>
      <c r="G47" s="472">
        <v>9</v>
      </c>
      <c r="H47" s="472">
        <v>6</v>
      </c>
      <c r="I47" s="472">
        <v>9</v>
      </c>
      <c r="J47" s="462"/>
      <c r="K47" s="462"/>
      <c r="L47" s="462"/>
      <c r="M47" s="462"/>
      <c r="N47" s="462"/>
      <c r="O47" s="198">
        <f t="shared" si="0"/>
        <v>8.3000000000000007</v>
      </c>
      <c r="P47" s="214" t="str">
        <f t="shared" si="1"/>
        <v>Khá</v>
      </c>
    </row>
    <row r="48" spans="1:16" ht="18" customHeight="1">
      <c r="A48" s="123">
        <f>IF(OR($C$6="",$J$6="",$M$6=""),"",IF($B48="","",SUBTOTAL(3,$B$11:B48)))</f>
        <v>38</v>
      </c>
      <c r="B48" s="25" t="str">
        <f>IF(OR($C$6="",$J$6="",$M$6=""),"",IF(HKI!$B48="","",HKI!$B48))</f>
        <v>13D301Đ101</v>
      </c>
      <c r="C48" s="26" t="str">
        <f>IF(OR($C$6="",$J$6="",$M$6=""),"",IF(HKI!$C48="","",HKI!$C48))</f>
        <v>Huỳnh Thanh</v>
      </c>
      <c r="D48" s="27" t="str">
        <f>IF(OR($C$6="",$J$6="",$M$6=""),"",IF(HKI!$D48="","",HKI!$D48))</f>
        <v>Phú</v>
      </c>
      <c r="E48" s="467"/>
      <c r="F48" s="472">
        <v>0</v>
      </c>
      <c r="G48" s="472">
        <v>0</v>
      </c>
      <c r="H48" s="472">
        <v>0</v>
      </c>
      <c r="I48" s="472">
        <v>0</v>
      </c>
      <c r="J48" s="462"/>
      <c r="K48" s="462"/>
      <c r="L48" s="462"/>
      <c r="M48" s="462"/>
      <c r="N48" s="462"/>
      <c r="O48" s="198">
        <f t="shared" si="0"/>
        <v>0</v>
      </c>
      <c r="P48" s="214" t="str">
        <f t="shared" si="1"/>
        <v>Kém</v>
      </c>
    </row>
    <row r="49" spans="1:16" ht="18" customHeight="1">
      <c r="A49" s="123">
        <f>IF(OR($C$6="",$J$6="",$M$6=""),"",IF($B49="","",SUBTOTAL(3,$B$11:B49)))</f>
        <v>39</v>
      </c>
      <c r="B49" s="25" t="str">
        <f>IF(OR($C$6="",$J$6="",$M$6=""),"",IF(HKI!$B49="","",HKI!$B49))</f>
        <v>13D301Đ117</v>
      </c>
      <c r="C49" s="26" t="str">
        <f>IF(OR($C$6="",$J$6="",$M$6=""),"",IF(HKI!$C49="","",HKI!$C49))</f>
        <v>Trịnh Ngọc</v>
      </c>
      <c r="D49" s="27" t="str">
        <f>IF(OR($C$6="",$J$6="",$M$6=""),"",IF(HKI!$D49="","",HKI!$D49))</f>
        <v>Sơn</v>
      </c>
      <c r="E49" s="467"/>
      <c r="F49" s="472">
        <v>0</v>
      </c>
      <c r="G49" s="472">
        <v>0</v>
      </c>
      <c r="H49" s="472">
        <v>0</v>
      </c>
      <c r="I49" s="472">
        <v>0</v>
      </c>
      <c r="J49" s="462"/>
      <c r="K49" s="462"/>
      <c r="L49" s="462"/>
      <c r="M49" s="462"/>
      <c r="N49" s="462"/>
      <c r="O49" s="198">
        <f t="shared" si="0"/>
        <v>0</v>
      </c>
      <c r="P49" s="214" t="str">
        <f t="shared" si="1"/>
        <v>Kém</v>
      </c>
    </row>
    <row r="50" spans="1:16" ht="18" customHeight="1">
      <c r="A50" s="123">
        <f>IF(OR($C$6="",$J$6="",$M$6=""),"",IF($B50="","",SUBTOTAL(3,$B$11:B50)))</f>
        <v>40</v>
      </c>
      <c r="B50" s="25" t="str">
        <f>IF(OR($C$6="",$J$6="",$M$6=""),"",IF(HKI!$B50="","",HKI!$B50))</f>
        <v>13D301Đ121</v>
      </c>
      <c r="C50" s="26" t="str">
        <f>IF(OR($C$6="",$J$6="",$M$6=""),"",IF(HKI!$C50="","",HKI!$C50))</f>
        <v>Lê Minh</v>
      </c>
      <c r="D50" s="27" t="str">
        <f>IF(OR($C$6="",$J$6="",$M$6=""),"",IF(HKI!$D50="","",HKI!$D50))</f>
        <v>Tâm</v>
      </c>
      <c r="E50" s="467"/>
      <c r="F50" s="472">
        <v>7</v>
      </c>
      <c r="G50" s="472">
        <v>7</v>
      </c>
      <c r="H50" s="472">
        <v>6</v>
      </c>
      <c r="I50" s="472">
        <v>7</v>
      </c>
      <c r="J50" s="462"/>
      <c r="K50" s="462"/>
      <c r="L50" s="462"/>
      <c r="M50" s="462"/>
      <c r="N50" s="462"/>
      <c r="O50" s="198">
        <f t="shared" si="0"/>
        <v>6.8</v>
      </c>
      <c r="P50" s="214" t="str">
        <f t="shared" si="1"/>
        <v>T.Bình</v>
      </c>
    </row>
    <row r="51" spans="1:16" ht="18" customHeight="1">
      <c r="A51" s="123">
        <f>IF(OR($C$6="",$J$6="",$M$6=""),"",IF($B51="","",SUBTOTAL(3,$B$11:B51)))</f>
        <v>41</v>
      </c>
      <c r="B51" s="25" t="str">
        <f>IF(OR($C$6="",$J$6="",$M$6=""),"",IF(HKI!$B51="","",HKI!$B51))</f>
        <v>13D301Đ124</v>
      </c>
      <c r="C51" s="26" t="str">
        <f>IF(OR($C$6="",$J$6="",$M$6=""),"",IF(HKI!$C51="","",HKI!$C51))</f>
        <v>Cao Nguyễn Nhật</v>
      </c>
      <c r="D51" s="27" t="str">
        <f>IF(OR($C$6="",$J$6="",$M$6=""),"",IF(HKI!$D51="","",HKI!$D51))</f>
        <v>Tân</v>
      </c>
      <c r="E51" s="467"/>
      <c r="F51" s="472">
        <v>9</v>
      </c>
      <c r="G51" s="472">
        <v>7</v>
      </c>
      <c r="H51" s="472">
        <v>5</v>
      </c>
      <c r="I51" s="472">
        <v>8</v>
      </c>
      <c r="J51" s="462"/>
      <c r="K51" s="462"/>
      <c r="L51" s="462"/>
      <c r="M51" s="462"/>
      <c r="N51" s="462"/>
      <c r="O51" s="198">
        <f t="shared" si="0"/>
        <v>7.3</v>
      </c>
      <c r="P51" s="214" t="str">
        <f t="shared" si="1"/>
        <v>Khá</v>
      </c>
    </row>
    <row r="52" spans="1:16" ht="18" customHeight="1">
      <c r="A52" s="123">
        <f>IF(OR($C$6="",$J$6="",$M$6=""),"",IF($B52="","",SUBTOTAL(3,$B$11:B52)))</f>
        <v>42</v>
      </c>
      <c r="B52" s="25" t="str">
        <f>IF(OR($C$6="",$J$6="",$M$6=""),"",IF(HKI!$B52="","",HKI!$B52))</f>
        <v>13D301Đ130</v>
      </c>
      <c r="C52" s="26" t="str">
        <f>IF(OR($C$6="",$J$6="",$M$6=""),"",IF(HKI!$C52="","",HKI!$C52))</f>
        <v>Nguyễn Việt</v>
      </c>
      <c r="D52" s="27" t="str">
        <f>IF(OR($C$6="",$J$6="",$M$6=""),"",IF(HKI!$D52="","",HKI!$D52))</f>
        <v>Thắng</v>
      </c>
      <c r="E52" s="467"/>
      <c r="F52" s="472">
        <v>4</v>
      </c>
      <c r="G52" s="472">
        <v>4</v>
      </c>
      <c r="H52" s="472">
        <v>5</v>
      </c>
      <c r="I52" s="472">
        <v>7</v>
      </c>
      <c r="J52" s="462"/>
      <c r="K52" s="462"/>
      <c r="L52" s="462"/>
      <c r="M52" s="462"/>
      <c r="N52" s="462"/>
      <c r="O52" s="198">
        <f t="shared" si="0"/>
        <v>5</v>
      </c>
      <c r="P52" s="214" t="str">
        <f t="shared" si="1"/>
        <v>TB Yếu</v>
      </c>
    </row>
    <row r="53" spans="1:16" ht="18" customHeight="1">
      <c r="A53" s="123">
        <f>IF(OR($C$6="",$J$6="",$M$6=""),"",IF($B53="","",SUBTOTAL(3,$B$11:B53)))</f>
        <v>43</v>
      </c>
      <c r="B53" s="25" t="str">
        <f>IF(OR($C$6="",$J$6="",$M$6=""),"",IF(HKI!$B53="","",HKI!$B53))</f>
        <v>13D301Đ136</v>
      </c>
      <c r="C53" s="26" t="str">
        <f>IF(OR($C$6="",$J$6="",$M$6=""),"",IF(HKI!$C53="","",HKI!$C53))</f>
        <v>Trần Minh</v>
      </c>
      <c r="D53" s="27" t="str">
        <f>IF(OR($C$6="",$J$6="",$M$6=""),"",IF(HKI!$D53="","",HKI!$D53))</f>
        <v>Thanh</v>
      </c>
      <c r="E53" s="467"/>
      <c r="F53" s="472">
        <v>6</v>
      </c>
      <c r="G53" s="472">
        <v>9</v>
      </c>
      <c r="H53" s="472">
        <v>10</v>
      </c>
      <c r="I53" s="472">
        <v>10</v>
      </c>
      <c r="J53" s="462"/>
      <c r="K53" s="462"/>
      <c r="L53" s="462"/>
      <c r="M53" s="462"/>
      <c r="N53" s="462"/>
      <c r="O53" s="198">
        <f t="shared" si="0"/>
        <v>8.8000000000000007</v>
      </c>
      <c r="P53" s="214" t="str">
        <f t="shared" si="1"/>
        <v>Giỏi</v>
      </c>
    </row>
    <row r="54" spans="1:16" ht="18" customHeight="1">
      <c r="A54" s="123">
        <f>IF(OR($C$6="",$J$6="",$M$6=""),"",IF($B54="","",SUBTOTAL(3,$B$11:B54)))</f>
        <v>44</v>
      </c>
      <c r="B54" s="25" t="str">
        <f>IF(OR($C$6="",$J$6="",$M$6=""),"",IF(HKI!$B54="","",HKI!$B54))</f>
        <v>13D301Đ133</v>
      </c>
      <c r="C54" s="26" t="str">
        <f>IF(OR($C$6="",$J$6="",$M$6=""),"",IF(HKI!$C54="","",HKI!$C54))</f>
        <v>Nguyễn Khắc</v>
      </c>
      <c r="D54" s="27" t="str">
        <f>IF(OR($C$6="",$J$6="",$M$6=""),"",IF(HKI!$D54="","",HKI!$D54))</f>
        <v>Thành</v>
      </c>
      <c r="E54" s="467"/>
      <c r="F54" s="472">
        <v>6</v>
      </c>
      <c r="G54" s="472">
        <v>5</v>
      </c>
      <c r="H54" s="472">
        <v>6</v>
      </c>
      <c r="I54" s="472">
        <v>8</v>
      </c>
      <c r="J54" s="462"/>
      <c r="K54" s="462"/>
      <c r="L54" s="462"/>
      <c r="M54" s="462"/>
      <c r="N54" s="462"/>
      <c r="O54" s="198">
        <f t="shared" si="0"/>
        <v>6.3</v>
      </c>
      <c r="P54" s="214" t="str">
        <f t="shared" si="1"/>
        <v>T.Bình</v>
      </c>
    </row>
    <row r="55" spans="1:16" ht="18" customHeight="1">
      <c r="A55" s="123">
        <f>IF(OR($C$6="",$J$6="",$M$6=""),"",IF($B55="","",SUBTOTAL(3,$B$11:B55)))</f>
        <v>45</v>
      </c>
      <c r="B55" s="25" t="str">
        <f>IF(OR($C$6="",$J$6="",$M$6=""),"",IF(HKI!$B55="","",HKI!$B55))</f>
        <v>13D301Đ169</v>
      </c>
      <c r="C55" s="26" t="str">
        <f>IF(OR($C$6="",$J$6="",$M$6=""),"",IF(HKI!$C55="","",HKI!$C55))</f>
        <v>Nguyễn Thanh</v>
      </c>
      <c r="D55" s="27" t="str">
        <f>IF(OR($C$6="",$J$6="",$M$6=""),"",IF(HKI!$D55="","",HKI!$D55))</f>
        <v>Thảo</v>
      </c>
      <c r="E55" s="467"/>
      <c r="F55" s="472">
        <v>7</v>
      </c>
      <c r="G55" s="472">
        <v>6</v>
      </c>
      <c r="H55" s="472">
        <v>7</v>
      </c>
      <c r="I55" s="472">
        <v>5</v>
      </c>
      <c r="J55" s="462"/>
      <c r="K55" s="462"/>
      <c r="L55" s="462"/>
      <c r="M55" s="462"/>
      <c r="N55" s="462"/>
      <c r="O55" s="198">
        <f t="shared" si="0"/>
        <v>6.3</v>
      </c>
      <c r="P55" s="214" t="str">
        <f t="shared" si="1"/>
        <v>T.Bình</v>
      </c>
    </row>
    <row r="56" spans="1:16" ht="18" customHeight="1">
      <c r="A56" s="123">
        <f>IF(OR($C$6="",$J$6="",$M$6=""),"",IF($B56="","",SUBTOTAL(3,$B$11:B56)))</f>
        <v>46</v>
      </c>
      <c r="B56" s="25" t="str">
        <f>IF(OR($C$6="",$J$6="",$M$6=""),"",IF(HKI!$B56="","",HKI!$B56))</f>
        <v>13D301Đ154</v>
      </c>
      <c r="C56" s="26" t="str">
        <f>IF(OR($C$6="",$J$6="",$M$6=""),"",IF(HKI!$C56="","",HKI!$C56))</f>
        <v>Võ Đức</v>
      </c>
      <c r="D56" s="27" t="str">
        <f>IF(OR($C$6="",$J$6="",$M$6=""),"",IF(HKI!$D56="","",HKI!$D56))</f>
        <v>Trí</v>
      </c>
      <c r="E56" s="467"/>
      <c r="F56" s="472">
        <v>7</v>
      </c>
      <c r="G56" s="472">
        <v>6</v>
      </c>
      <c r="H56" s="472">
        <v>6</v>
      </c>
      <c r="I56" s="472">
        <v>8</v>
      </c>
      <c r="J56" s="462"/>
      <c r="K56" s="462"/>
      <c r="L56" s="462"/>
      <c r="M56" s="462"/>
      <c r="N56" s="462"/>
      <c r="O56" s="198">
        <f t="shared" si="0"/>
        <v>6.8</v>
      </c>
      <c r="P56" s="214" t="str">
        <f t="shared" si="1"/>
        <v>T.Bình</v>
      </c>
    </row>
    <row r="57" spans="1:16" s="148" customFormat="1" ht="18" customHeight="1">
      <c r="A57" s="123">
        <f>IF(OR($C$6="",$J$6="",$M$6=""),"",IF($B57="","",SUBTOTAL(3,$B$11:B57)))</f>
        <v>47</v>
      </c>
      <c r="B57" s="25" t="str">
        <f>IF(OR($C$6="",$J$6="",$M$6=""),"",IF(HKI!$B57="","",HKI!$B57))</f>
        <v>13D301Đ160</v>
      </c>
      <c r="C57" s="26" t="str">
        <f>IF(OR($C$6="",$J$6="",$M$6=""),"",IF(HKI!$C57="","",HKI!$C57))</f>
        <v>Nguyễn Bá</v>
      </c>
      <c r="D57" s="27" t="str">
        <f>IF(OR($C$6="",$J$6="",$M$6=""),"",IF(HKI!$D57="","",HKI!$D57))</f>
        <v>Trung</v>
      </c>
      <c r="E57" s="467"/>
      <c r="F57" s="472">
        <v>6</v>
      </c>
      <c r="G57" s="472">
        <v>10</v>
      </c>
      <c r="H57" s="472">
        <v>8</v>
      </c>
      <c r="I57" s="472">
        <v>9</v>
      </c>
      <c r="J57" s="462"/>
      <c r="K57" s="462"/>
      <c r="L57" s="462"/>
      <c r="M57" s="462"/>
      <c r="N57" s="462"/>
      <c r="O57" s="198">
        <f t="shared" si="0"/>
        <v>8.3000000000000007</v>
      </c>
      <c r="P57" s="214" t="str">
        <f t="shared" si="1"/>
        <v>Khá</v>
      </c>
    </row>
    <row r="58" spans="1:16" s="148" customFormat="1" ht="18" customHeight="1">
      <c r="A58" s="123">
        <f>IF(OR($C$6="",$J$6="",$M$6=""),"",IF($B58="","",SUBTOTAL(3,$B$11:B58)))</f>
        <v>48</v>
      </c>
      <c r="B58" s="25" t="str">
        <f>IF(OR($C$6="",$J$6="",$M$6=""),"",IF(HKI!$B58="","",HKI!$B58))</f>
        <v>13D301Đ163</v>
      </c>
      <c r="C58" s="26" t="str">
        <f>IF(OR($C$6="",$J$6="",$M$6=""),"",IF(HKI!$C58="","",HKI!$C58))</f>
        <v>Mai Ngọc</v>
      </c>
      <c r="D58" s="27" t="str">
        <f>IF(OR($C$6="",$J$6="",$M$6=""),"",IF(HKI!$D58="","",HKI!$D58))</f>
        <v>Trước</v>
      </c>
      <c r="E58" s="467"/>
      <c r="F58" s="472">
        <v>2</v>
      </c>
      <c r="G58" s="472">
        <v>8</v>
      </c>
      <c r="H58" s="472">
        <v>8</v>
      </c>
      <c r="I58" s="472">
        <v>7</v>
      </c>
      <c r="J58" s="462"/>
      <c r="K58" s="462"/>
      <c r="L58" s="462"/>
      <c r="M58" s="462"/>
      <c r="N58" s="462"/>
      <c r="O58" s="198">
        <f t="shared" si="0"/>
        <v>6.3</v>
      </c>
      <c r="P58" s="214" t="str">
        <f t="shared" si="1"/>
        <v>T.Bình</v>
      </c>
    </row>
    <row r="59" spans="1:16" ht="18" customHeight="1">
      <c r="A59" s="123">
        <f>IF(OR($C$6="",$J$6="",$M$6=""),"",IF($B59="","",SUBTOTAL(3,$B$11:B59)))</f>
        <v>49</v>
      </c>
      <c r="B59" s="25" t="str">
        <f>IF(OR($C$6="",$J$6="",$M$6=""),"",IF(HKI!$B59="","",HKI!$B59))</f>
        <v>13D301Đ166</v>
      </c>
      <c r="C59" s="26" t="str">
        <f>IF(OR($C$6="",$J$6="",$M$6=""),"",IF(HKI!$C59="","",HKI!$C59))</f>
        <v>Nguyễn Văn</v>
      </c>
      <c r="D59" s="27" t="str">
        <f>IF(OR($C$6="",$J$6="",$M$6=""),"",IF(HKI!$D59="","",HKI!$D59))</f>
        <v>Tư</v>
      </c>
      <c r="E59" s="467"/>
      <c r="F59" s="472">
        <v>0</v>
      </c>
      <c r="G59" s="472">
        <v>0</v>
      </c>
      <c r="H59" s="472">
        <v>0</v>
      </c>
      <c r="I59" s="472">
        <v>0</v>
      </c>
      <c r="J59" s="462"/>
      <c r="K59" s="462"/>
      <c r="L59" s="462"/>
      <c r="M59" s="462"/>
      <c r="N59" s="462"/>
      <c r="O59" s="198">
        <f t="shared" si="0"/>
        <v>0</v>
      </c>
      <c r="P59" s="214" t="str">
        <f t="shared" si="1"/>
        <v>Kém</v>
      </c>
    </row>
    <row r="60" spans="1:16" ht="18" customHeight="1">
      <c r="A60" s="123">
        <f>IF(OR($C$6="",$J$6="",$M$6=""),"",IF($B60="","",SUBTOTAL(3,$B$11:B60)))</f>
        <v>50</v>
      </c>
      <c r="B60" s="25" t="str">
        <f>IF(OR($C$6="",$J$6="",$M$6=""),"",IF(HKI!$B60="","",HKI!$B60))</f>
        <v>13D301Đ178</v>
      </c>
      <c r="C60" s="26" t="str">
        <f>IF(OR($C$6="",$J$6="",$M$6=""),"",IF(HKI!$C60="","",HKI!$C60))</f>
        <v>Lê Văn</v>
      </c>
      <c r="D60" s="27" t="str">
        <f>IF(OR($C$6="",$J$6="",$M$6=""),"",IF(HKI!$D60="","",HKI!$D60))</f>
        <v>Vũ</v>
      </c>
      <c r="E60" s="467"/>
      <c r="F60" s="472">
        <v>5</v>
      </c>
      <c r="G60" s="472">
        <v>0</v>
      </c>
      <c r="H60" s="472">
        <v>0</v>
      </c>
      <c r="I60" s="472">
        <v>0</v>
      </c>
      <c r="J60" s="462"/>
      <c r="K60" s="462"/>
      <c r="L60" s="462"/>
      <c r="M60" s="462"/>
      <c r="N60" s="462"/>
      <c r="O60" s="198">
        <f t="shared" si="0"/>
        <v>1.3</v>
      </c>
      <c r="P60" s="214" t="str">
        <f t="shared" si="1"/>
        <v>Kém</v>
      </c>
    </row>
    <row r="61" spans="1:16" ht="18" customHeight="1">
      <c r="A61" s="123" t="str">
        <f>IF(OR($C$6="",$J$6="",$M$6=""),"",IF($B61="","",SUBTOTAL(3,$B$11:B61)))</f>
        <v/>
      </c>
      <c r="B61" s="25" t="str">
        <f>IF(OR($C$6="",$J$6="",$M$6=""),"",IF(HKI!$B61="","",HKI!$B61))</f>
        <v/>
      </c>
      <c r="C61" s="26" t="str">
        <f>IF(OR($C$6="",$J$6="",$M$6=""),"",IF(HKI!$C61="","",HKI!$C61))</f>
        <v/>
      </c>
      <c r="D61" s="27" t="str">
        <f>IF(OR($C$6="",$J$6="",$M$6=""),"",IF(HKI!$D61="","",HKI!$D61))</f>
        <v/>
      </c>
      <c r="E61" s="44"/>
      <c r="F61" s="55"/>
      <c r="G61" s="143"/>
      <c r="H61" s="143"/>
      <c r="I61" s="211"/>
      <c r="J61" s="211"/>
      <c r="K61" s="211"/>
      <c r="L61" s="45"/>
      <c r="M61" s="45"/>
      <c r="N61" s="45"/>
      <c r="O61" s="198" t="str">
        <f t="shared" si="0"/>
        <v/>
      </c>
      <c r="P61" s="214" t="str">
        <f t="shared" si="1"/>
        <v/>
      </c>
    </row>
    <row r="62" spans="1:16" ht="18" customHeight="1">
      <c r="A62" s="123" t="str">
        <f>IF(OR($C$6="",$J$6="",$M$6=""),"",IF($B62="","",SUBTOTAL(3,$B$11:B62)))</f>
        <v/>
      </c>
      <c r="B62" s="25" t="str">
        <f>IF(OR($C$6="",$J$6="",$M$6=""),"",IF(HKI!$B62="","",HKI!$B62))</f>
        <v/>
      </c>
      <c r="C62" s="26" t="str">
        <f>IF(OR($C$6="",$J$6="",$M$6=""),"",IF(HKI!$C62="","",HKI!$C62))</f>
        <v/>
      </c>
      <c r="D62" s="27" t="str">
        <f>IF(OR($C$6="",$J$6="",$M$6=""),"",IF(HKI!$D62="","",HKI!$D62))</f>
        <v/>
      </c>
      <c r="E62" s="44"/>
      <c r="F62" s="55"/>
      <c r="G62" s="143"/>
      <c r="H62" s="143"/>
      <c r="I62" s="211"/>
      <c r="J62" s="211"/>
      <c r="K62" s="211"/>
      <c r="L62" s="45"/>
      <c r="M62" s="45"/>
      <c r="N62" s="45"/>
      <c r="O62" s="198" t="str">
        <f t="shared" si="0"/>
        <v/>
      </c>
      <c r="P62" s="214" t="str">
        <f t="shared" si="1"/>
        <v/>
      </c>
    </row>
    <row r="63" spans="1:16" ht="18" customHeight="1">
      <c r="A63" s="123" t="str">
        <f>IF(OR($C$6="",$J$6="",$M$6=""),"",IF($B63="","",SUBTOTAL(3,$B$11:B63)))</f>
        <v/>
      </c>
      <c r="B63" s="25" t="str">
        <f>IF(OR($C$6="",$J$6="",$M$6=""),"",IF(HKI!$B63="","",HKI!$B63))</f>
        <v/>
      </c>
      <c r="C63" s="26" t="str">
        <f>IF(OR($C$6="",$J$6="",$M$6=""),"",IF(HKI!$C63="","",HKI!$C63))</f>
        <v/>
      </c>
      <c r="D63" s="27" t="str">
        <f>IF(OR($C$6="",$J$6="",$M$6=""),"",IF(HKI!$D63="","",HKI!$D63))</f>
        <v/>
      </c>
      <c r="E63" s="44"/>
      <c r="F63" s="55"/>
      <c r="G63" s="143"/>
      <c r="H63" s="143"/>
      <c r="I63" s="45"/>
      <c r="J63" s="45"/>
      <c r="K63" s="45"/>
      <c r="L63" s="45"/>
      <c r="M63" s="45"/>
      <c r="N63" s="45"/>
      <c r="O63" s="198" t="str">
        <f t="shared" si="0"/>
        <v/>
      </c>
      <c r="P63" s="214" t="str">
        <f t="shared" si="1"/>
        <v/>
      </c>
    </row>
    <row r="64" spans="1:16" ht="18" customHeight="1">
      <c r="A64" s="123" t="str">
        <f>IF(OR($C$6="",$J$6="",$M$6=""),"",IF($B64="","",SUBTOTAL(3,$B$11:B64)))</f>
        <v/>
      </c>
      <c r="B64" s="25" t="str">
        <f>IF(OR($C$6="",$J$6="",$M$6=""),"",IF(HKI!$B64="","",HKI!$B64))</f>
        <v/>
      </c>
      <c r="C64" s="26" t="str">
        <f>IF(OR($C$6="",$J$6="",$M$6=""),"",IF(HKI!$C64="","",HKI!$C64))</f>
        <v/>
      </c>
      <c r="D64" s="27" t="str">
        <f>IF(OR($C$6="",$J$6="",$M$6=""),"",IF(HKI!$D64="","",HKI!$D64))</f>
        <v/>
      </c>
      <c r="E64" s="44"/>
      <c r="F64" s="55"/>
      <c r="G64" s="143"/>
      <c r="H64" s="143"/>
      <c r="I64" s="45"/>
      <c r="J64" s="45"/>
      <c r="K64" s="44"/>
      <c r="L64" s="45"/>
      <c r="M64" s="45"/>
      <c r="N64" s="45"/>
      <c r="O64" s="198" t="str">
        <f t="shared" si="0"/>
        <v/>
      </c>
      <c r="P64" s="214" t="str">
        <f t="shared" si="1"/>
        <v/>
      </c>
    </row>
    <row r="65" spans="1:16" ht="18" customHeight="1">
      <c r="A65" s="123" t="str">
        <f>IF(OR($C$6="",$J$6="",$M$6=""),"",IF($B65="","",SUBTOTAL(3,$B$11:B65)))</f>
        <v/>
      </c>
      <c r="B65" s="25" t="str">
        <f>IF(OR($C$6="",$J$6="",$M$6=""),"",IF(HKI!$B65="","",HKI!$B65))</f>
        <v/>
      </c>
      <c r="C65" s="26" t="str">
        <f>IF(OR($C$6="",$J$6="",$M$6=""),"",IF(HKI!$C65="","",HKI!$C65))</f>
        <v/>
      </c>
      <c r="D65" s="27" t="str">
        <f>IF(OR($C$6="",$J$6="",$M$6=""),"",IF(HKI!$D65="","",HKI!$D65))</f>
        <v/>
      </c>
      <c r="E65" s="44"/>
      <c r="F65" s="55"/>
      <c r="G65" s="143"/>
      <c r="H65" s="143"/>
      <c r="I65" s="45"/>
      <c r="J65" s="45"/>
      <c r="K65" s="44"/>
      <c r="L65" s="45"/>
      <c r="M65" s="45"/>
      <c r="N65" s="45"/>
      <c r="O65" s="198" t="str">
        <f t="shared" si="0"/>
        <v/>
      </c>
      <c r="P65" s="214" t="str">
        <f t="shared" si="1"/>
        <v/>
      </c>
    </row>
    <row r="66" spans="1:16" ht="18" customHeight="1">
      <c r="A66" s="123" t="str">
        <f>IF(OR($C$6="",$J$6="",$M$6=""),"",IF($B66="","",SUBTOTAL(3,$B$11:B66)))</f>
        <v/>
      </c>
      <c r="B66" s="25" t="str">
        <f>IF(OR($C$6="",$J$6="",$M$6=""),"",IF(HKI!$B66="","",HKI!$B66))</f>
        <v/>
      </c>
      <c r="C66" s="26" t="str">
        <f>IF(OR($C$6="",$J$6="",$M$6=""),"",IF(HKI!$C66="","",HKI!$C66))</f>
        <v/>
      </c>
      <c r="D66" s="27" t="str">
        <f>IF(OR($C$6="",$J$6="",$M$6=""),"",IF(HKI!$D66="","",HKI!$D66))</f>
        <v/>
      </c>
      <c r="E66" s="44"/>
      <c r="F66" s="212"/>
      <c r="G66" s="212"/>
      <c r="H66" s="212"/>
      <c r="I66" s="45"/>
      <c r="J66" s="45"/>
      <c r="K66" s="44"/>
      <c r="L66" s="45"/>
      <c r="M66" s="45"/>
      <c r="N66" s="45"/>
      <c r="O66" s="198" t="str">
        <f t="shared" si="0"/>
        <v/>
      </c>
      <c r="P66" s="214" t="str">
        <f t="shared" si="1"/>
        <v/>
      </c>
    </row>
    <row r="67" spans="1:16" ht="18" customHeight="1">
      <c r="A67" s="123" t="str">
        <f>IF(OR($C$6="",$J$6="",$M$6=""),"",IF($B67="","",SUBTOTAL(3,$B$11:B67)))</f>
        <v/>
      </c>
      <c r="B67" s="25" t="str">
        <f>IF(OR($C$6="",$J$6="",$M$6=""),"",IF(HKI!$B67="","",HKI!$B67))</f>
        <v/>
      </c>
      <c r="C67" s="26" t="str">
        <f>IF(OR($C$6="",$J$6="",$M$6=""),"",IF(HKI!$C67="","",HKI!$C67))</f>
        <v/>
      </c>
      <c r="D67" s="27" t="str">
        <f>IF(OR($C$6="",$J$6="",$M$6=""),"",IF(HKI!$D67="","",HKI!$D67))</f>
        <v/>
      </c>
      <c r="E67" s="44"/>
      <c r="F67" s="212"/>
      <c r="G67" s="212"/>
      <c r="H67" s="212"/>
      <c r="I67" s="45"/>
      <c r="J67" s="45"/>
      <c r="K67" s="44"/>
      <c r="L67" s="45"/>
      <c r="M67" s="45"/>
      <c r="N67" s="45"/>
      <c r="O67" s="198" t="str">
        <f t="shared" si="0"/>
        <v/>
      </c>
      <c r="P67" s="214" t="str">
        <f t="shared" si="1"/>
        <v/>
      </c>
    </row>
    <row r="68" spans="1:16" ht="18" customHeight="1">
      <c r="A68" s="123" t="str">
        <f>IF(OR($C$6="",$J$6="",$M$6=""),"",IF($B68="","",SUBTOTAL(3,$B$11:B68)))</f>
        <v/>
      </c>
      <c r="B68" s="25" t="str">
        <f>IF(OR($C$6="",$J$6="",$M$6=""),"",IF(HKI!$B68="","",HKI!$B68))</f>
        <v/>
      </c>
      <c r="C68" s="26" t="str">
        <f>IF(OR($C$6="",$J$6="",$M$6=""),"",IF(HKI!$C68="","",HKI!$C68))</f>
        <v/>
      </c>
      <c r="D68" s="27" t="str">
        <f>IF(OR($C$6="",$J$6="",$M$6=""),"",IF(HKI!$D68="","",HKI!$D68))</f>
        <v/>
      </c>
      <c r="E68" s="44"/>
      <c r="F68" s="46"/>
      <c r="G68" s="45"/>
      <c r="H68" s="45"/>
      <c r="I68" s="45"/>
      <c r="J68" s="45"/>
      <c r="K68" s="44"/>
      <c r="L68" s="45"/>
      <c r="M68" s="45"/>
      <c r="N68" s="45"/>
      <c r="O68" s="198" t="str">
        <f t="shared" si="0"/>
        <v/>
      </c>
      <c r="P68" s="214" t="str">
        <f t="shared" si="1"/>
        <v/>
      </c>
    </row>
    <row r="69" spans="1:16" ht="18" customHeight="1">
      <c r="A69" s="123" t="str">
        <f>IF(OR($C$6="",$J$6="",$M$6=""),"",IF($B69="","",SUBTOTAL(3,$B$11:B69)))</f>
        <v/>
      </c>
      <c r="B69" s="25" t="str">
        <f>IF(OR($C$6="",$J$6="",$M$6=""),"",IF(HKI!$B69="","",HKI!$B69))</f>
        <v/>
      </c>
      <c r="C69" s="26" t="str">
        <f>IF(OR($C$6="",$J$6="",$M$6=""),"",IF(HKI!$C69="","",HKI!$C69))</f>
        <v/>
      </c>
      <c r="D69" s="27" t="str">
        <f>IF(OR($C$6="",$J$6="",$M$6=""),"",IF(HKI!$D69="","",HKI!$D69))</f>
        <v/>
      </c>
      <c r="E69" s="44"/>
      <c r="F69" s="46"/>
      <c r="G69" s="45"/>
      <c r="H69" s="45"/>
      <c r="I69" s="45"/>
      <c r="J69" s="45"/>
      <c r="K69" s="44"/>
      <c r="L69" s="45"/>
      <c r="M69" s="45"/>
      <c r="N69" s="45"/>
      <c r="O69" s="198" t="str">
        <f t="shared" si="0"/>
        <v/>
      </c>
      <c r="P69" s="214" t="str">
        <f t="shared" si="1"/>
        <v/>
      </c>
    </row>
    <row r="70" spans="1:16" ht="18" customHeight="1">
      <c r="A70" s="123" t="str">
        <f>IF(OR($C$6="",$J$6="",$M$6=""),"",IF($B70="","",SUBTOTAL(3,$B$11:B70)))</f>
        <v/>
      </c>
      <c r="B70" s="25" t="str">
        <f>IF(OR($C$6="",$J$6="",$M$6=""),"",IF(HKI!$B70="","",HKI!$B70))</f>
        <v/>
      </c>
      <c r="C70" s="26" t="str">
        <f>IF(OR($C$6="",$J$6="",$M$6=""),"",IF(HKI!$C70="","",HKI!$C70))</f>
        <v/>
      </c>
      <c r="D70" s="27" t="str">
        <f>IF(OR($C$6="",$J$6="",$M$6=""),"",IF(HKI!$D70="","",HKI!$D70))</f>
        <v/>
      </c>
      <c r="E70" s="44"/>
      <c r="F70" s="46"/>
      <c r="G70" s="45"/>
      <c r="H70" s="45"/>
      <c r="I70" s="45"/>
      <c r="J70" s="45"/>
      <c r="K70" s="44"/>
      <c r="L70" s="45"/>
      <c r="M70" s="45"/>
      <c r="N70" s="45"/>
      <c r="O70" s="198" t="str">
        <f t="shared" si="0"/>
        <v/>
      </c>
      <c r="P70" s="214" t="str">
        <f t="shared" si="1"/>
        <v/>
      </c>
    </row>
    <row r="71" spans="1:16" ht="18" customHeight="1">
      <c r="A71" s="123" t="str">
        <f>IF(OR($C$6="",$J$6="",$M$6=""),"",IF($B71="","",SUBTOTAL(3,$B$11:B71)))</f>
        <v/>
      </c>
      <c r="B71" s="25" t="str">
        <f>IF(OR($C$6="",$J$6="",$M$6=""),"",IF(HKI!$B71="","",HKI!$B71))</f>
        <v/>
      </c>
      <c r="C71" s="26" t="str">
        <f>IF(OR($C$6="",$J$6="",$M$6=""),"",IF(HKI!$C71="","",HKI!$C71))</f>
        <v/>
      </c>
      <c r="D71" s="27" t="str">
        <f>IF(OR($C$6="",$J$6="",$M$6=""),"",IF(HKI!$D71="","",HKI!$D71))</f>
        <v/>
      </c>
      <c r="E71" s="44"/>
      <c r="F71" s="46"/>
      <c r="G71" s="45"/>
      <c r="H71" s="45"/>
      <c r="I71" s="45"/>
      <c r="J71" s="45"/>
      <c r="K71" s="44"/>
      <c r="L71" s="45"/>
      <c r="M71" s="45"/>
      <c r="N71" s="45"/>
      <c r="O71" s="198" t="str">
        <f t="shared" si="0"/>
        <v/>
      </c>
      <c r="P71" s="214" t="str">
        <f t="shared" si="1"/>
        <v/>
      </c>
    </row>
    <row r="72" spans="1:16" ht="18" customHeight="1">
      <c r="A72" s="123" t="str">
        <f>IF(OR($C$6="",$J$6="",$M$6=""),"",IF($B72="","",SUBTOTAL(3,$B$11:B72)))</f>
        <v/>
      </c>
      <c r="B72" s="25" t="str">
        <f>IF(OR($C$6="",$J$6="",$M$6=""),"",IF(HKI!$B72="","",HKI!$B72))</f>
        <v/>
      </c>
      <c r="C72" s="26" t="str">
        <f>IF(OR($C$6="",$J$6="",$M$6=""),"",IF(HKI!$C72="","",HKI!$C72))</f>
        <v/>
      </c>
      <c r="D72" s="27" t="str">
        <f>IF(OR($C$6="",$J$6="",$M$6=""),"",IF(HKI!$D72="","",HKI!$D72))</f>
        <v/>
      </c>
      <c r="E72" s="44"/>
      <c r="F72" s="46"/>
      <c r="G72" s="45"/>
      <c r="H72" s="45"/>
      <c r="I72" s="45"/>
      <c r="J72" s="45"/>
      <c r="K72" s="44"/>
      <c r="L72" s="45"/>
      <c r="M72" s="45"/>
      <c r="N72" s="45"/>
      <c r="O72" s="198" t="str">
        <f t="shared" si="0"/>
        <v/>
      </c>
      <c r="P72" s="214" t="str">
        <f t="shared" si="1"/>
        <v/>
      </c>
    </row>
    <row r="73" spans="1:16" ht="18" customHeight="1">
      <c r="A73" s="123" t="str">
        <f>IF(OR($C$6="",$J$6="",$M$6=""),"",IF($B73="","",SUBTOTAL(3,$B$11:B73)))</f>
        <v/>
      </c>
      <c r="B73" s="25" t="str">
        <f>IF(OR($C$6="",$J$6="",$M$6=""),"",IF(HKI!$B73="","",HKI!$B73))</f>
        <v/>
      </c>
      <c r="C73" s="26" t="str">
        <f>IF(OR($C$6="",$J$6="",$M$6=""),"",IF(HKI!$C73="","",HKI!$C73))</f>
        <v/>
      </c>
      <c r="D73" s="27" t="str">
        <f>IF(OR($C$6="",$J$6="",$M$6=""),"",IF(HKI!$D73="","",HKI!$D73))</f>
        <v/>
      </c>
      <c r="E73" s="44"/>
      <c r="F73" s="46"/>
      <c r="G73" s="45"/>
      <c r="H73" s="45"/>
      <c r="I73" s="45"/>
      <c r="J73" s="45"/>
      <c r="K73" s="44"/>
      <c r="L73" s="45"/>
      <c r="M73" s="45"/>
      <c r="N73" s="45"/>
      <c r="O73" s="198" t="str">
        <f t="shared" si="0"/>
        <v/>
      </c>
      <c r="P73" s="214" t="str">
        <f t="shared" si="1"/>
        <v/>
      </c>
    </row>
    <row r="74" spans="1:16" ht="18" customHeight="1">
      <c r="A74" s="123" t="str">
        <f>IF(OR($C$6="",$J$6="",$M$6=""),"",IF($B74="","",SUBTOTAL(3,$B$11:B74)))</f>
        <v/>
      </c>
      <c r="B74" s="25" t="str">
        <f>IF(OR($C$6="",$J$6="",$M$6=""),"",IF(HKI!$B74="","",HKI!$B74))</f>
        <v/>
      </c>
      <c r="C74" s="26" t="str">
        <f>IF(OR($C$6="",$J$6="",$M$6=""),"",IF(HKI!$C74="","",HKI!$C74))</f>
        <v/>
      </c>
      <c r="D74" s="27" t="str">
        <f>IF(OR($C$6="",$J$6="",$M$6=""),"",IF(HKI!$D74="","",HKI!$D74))</f>
        <v/>
      </c>
      <c r="E74" s="44"/>
      <c r="F74" s="46"/>
      <c r="G74" s="45"/>
      <c r="H74" s="45"/>
      <c r="I74" s="45"/>
      <c r="J74" s="45"/>
      <c r="K74" s="44"/>
      <c r="L74" s="45"/>
      <c r="M74" s="45"/>
      <c r="N74" s="45"/>
      <c r="O74" s="198" t="str">
        <f t="shared" si="0"/>
        <v/>
      </c>
      <c r="P74" s="214" t="str">
        <f t="shared" si="1"/>
        <v/>
      </c>
    </row>
    <row r="75" spans="1:16" ht="18" customHeight="1">
      <c r="A75" s="123" t="str">
        <f>IF(OR($C$6="",$J$6="",$M$6=""),"",IF($B75="","",SUBTOTAL(3,$B$11:B75)))</f>
        <v/>
      </c>
      <c r="B75" s="25" t="str">
        <f>IF(OR($C$6="",$J$6="",$M$6=""),"",IF(HKI!$B75="","",HKI!$B75))</f>
        <v/>
      </c>
      <c r="C75" s="26" t="str">
        <f>IF(OR($C$6="",$J$6="",$M$6=""),"",IF(HKI!$C75="","",HKI!$C75))</f>
        <v/>
      </c>
      <c r="D75" s="27" t="str">
        <f>IF(OR($C$6="",$J$6="",$M$6=""),"",IF(HKI!$D75="","",HKI!$D75))</f>
        <v/>
      </c>
      <c r="E75" s="44"/>
      <c r="F75" s="46"/>
      <c r="G75" s="45"/>
      <c r="H75" s="45"/>
      <c r="I75" s="45"/>
      <c r="J75" s="45"/>
      <c r="K75" s="44"/>
      <c r="L75" s="45"/>
      <c r="M75" s="45"/>
      <c r="N75" s="45"/>
      <c r="O75" s="198" t="str">
        <f t="shared" si="0"/>
        <v/>
      </c>
      <c r="P75" s="214" t="str">
        <f t="shared" si="1"/>
        <v/>
      </c>
    </row>
    <row r="76" spans="1:16" ht="18" customHeight="1">
      <c r="A76" s="123" t="str">
        <f>IF(OR($C$6="",$J$6="",$M$6=""),"",IF($B76="","",SUBTOTAL(3,$B$11:B76)))</f>
        <v/>
      </c>
      <c r="B76" s="25" t="str">
        <f>IF(OR($C$6="",$J$6="",$M$6=""),"",IF(HKI!$B76="","",HKI!$B76))</f>
        <v/>
      </c>
      <c r="C76" s="26" t="str">
        <f>IF(OR($C$6="",$J$6="",$M$6=""),"",IF(HKI!$C76="","",HKI!$C76))</f>
        <v/>
      </c>
      <c r="D76" s="27" t="str">
        <f>IF(OR($C$6="",$J$6="",$M$6=""),"",IF(HKI!$D76="","",HKI!$D76))</f>
        <v/>
      </c>
      <c r="E76" s="44"/>
      <c r="F76" s="44"/>
      <c r="G76" s="45"/>
      <c r="H76" s="45"/>
      <c r="I76" s="45"/>
      <c r="J76" s="45"/>
      <c r="K76" s="44"/>
      <c r="L76" s="45"/>
      <c r="M76" s="45"/>
      <c r="N76" s="45"/>
      <c r="O76" s="198" t="str">
        <f>IF($B76="","",IF(OR($C$6="",$J$6="",$M$6=""),"",IF(ISNUMBER($E76)=TRUE,$E76,IF(COUNT($F76:$N76)=0,"",ROUND(SUM($F76:$N76)/COUNT($F76:$N76),1)))))</f>
        <v/>
      </c>
      <c r="P76" s="214" t="str">
        <f>IF($B76="","",IF(OR($C$6="",$J$6="",$M$6=""),"",IF($O76="","KXL",IF($O76&lt;4,"Kém",IF($O76&lt;5.5,"TB Yếu",IF($O76&lt;7,"T.Bình",IF(O76&lt;8.5,"Khá","Giỏi")))))))</f>
        <v/>
      </c>
    </row>
    <row r="77" spans="1:16" ht="18" customHeight="1">
      <c r="A77" s="123" t="str">
        <f>IF(OR($C$6="",$J$6="",$M$6=""),"",IF($B77="","",SUBTOTAL(3,$B$11:B77)))</f>
        <v/>
      </c>
      <c r="B77" s="25" t="str">
        <f>IF(OR($C$6="",$J$6="",$M$6=""),"",IF(HKI!$B77="","",HKI!$B77))</f>
        <v/>
      </c>
      <c r="C77" s="26" t="str">
        <f>IF(OR($C$6="",$J$6="",$M$6=""),"",IF(HKI!$C77="","",HKI!$C77))</f>
        <v/>
      </c>
      <c r="D77" s="27" t="str">
        <f>IF(OR($C$6="",$J$6="",$M$6=""),"",IF(HKI!$D77="","",HKI!$D77))</f>
        <v/>
      </c>
      <c r="E77" s="44"/>
      <c r="F77" s="44"/>
      <c r="G77" s="45"/>
      <c r="H77" s="45"/>
      <c r="I77" s="45"/>
      <c r="J77" s="45"/>
      <c r="K77" s="44"/>
      <c r="L77" s="45"/>
      <c r="M77" s="45"/>
      <c r="N77" s="45"/>
      <c r="O77" s="198" t="str">
        <f>IF($B77="","",IF(OR($C$6="",$J$6="",$M$6=""),"",IF(ISNUMBER($E77)=TRUE,$E77,IF(COUNT($F77:$N77)=0,"",ROUND(SUM($F77:$N77)/COUNT($F77:$N77),1)))))</f>
        <v/>
      </c>
      <c r="P77" s="214" t="str">
        <f>IF($B77="","",IF(OR($C$6="",$J$6="",$M$6=""),"",IF($O77="","KXL",IF($O77&lt;4,"Kém",IF($O77&lt;5.5,"TB Yếu",IF($O77&lt;7,"T.Bình",IF(O77&lt;8.5,"Khá","Giỏi")))))))</f>
        <v/>
      </c>
    </row>
    <row r="78" spans="1:16" ht="18" customHeight="1">
      <c r="A78" s="123" t="str">
        <f>IF(OR($C$6="",$J$6="",$M$6=""),"",IF($B78="","",SUBTOTAL(3,$B$11:B78)))</f>
        <v/>
      </c>
      <c r="B78" s="25" t="str">
        <f>IF(OR($C$6="",$J$6="",$M$6=""),"",IF(HKI!$B78="","",HKI!$B78))</f>
        <v/>
      </c>
      <c r="C78" s="26" t="str">
        <f>IF(OR($C$6="",$J$6="",$M$6=""),"",IF(HKI!$C78="","",HKI!$C78))</f>
        <v/>
      </c>
      <c r="D78" s="27" t="str">
        <f>IF(OR($C$6="",$J$6="",$M$6=""),"",IF(HKI!$D78="","",HKI!$D78))</f>
        <v/>
      </c>
      <c r="E78" s="44"/>
      <c r="F78" s="44"/>
      <c r="G78" s="45"/>
      <c r="H78" s="45"/>
      <c r="I78" s="45"/>
      <c r="J78" s="45"/>
      <c r="K78" s="44"/>
      <c r="L78" s="45"/>
      <c r="M78" s="45"/>
      <c r="N78" s="45"/>
      <c r="O78" s="198" t="str">
        <f>IF($B78="","",IF(OR($C$6="",$J$6="",$M$6=""),"",IF(ISNUMBER($E78)=TRUE,$E78,IF(COUNT($F78:$N78)=0,"",ROUND(SUM($F78:$N78)/COUNT($F78:$N78),1)))))</f>
        <v/>
      </c>
      <c r="P78" s="214" t="str">
        <f>IF($B78="","",IF(OR($C$6="",$J$6="",$M$6=""),"",IF($O78="","KXL",IF($O78&lt;4,"Kém",IF($O78&lt;5.5,"TB Yếu",IF($O78&lt;7,"T.Bình",IF(O78&lt;8.5,"Khá","Giỏi")))))))</f>
        <v/>
      </c>
    </row>
    <row r="79" spans="1:16" ht="18" customHeight="1">
      <c r="A79" s="123" t="str">
        <f>IF(OR($C$6="",$J$6="",$M$6=""),"",IF($B79="","",SUBTOTAL(3,$B$11:B79)))</f>
        <v/>
      </c>
      <c r="B79" s="25" t="str">
        <f>IF(OR($C$6="",$J$6="",$M$6=""),"",IF(HKI!$B79="","",HKI!$B79))</f>
        <v/>
      </c>
      <c r="C79" s="26" t="str">
        <f>IF(OR($C$6="",$J$6="",$M$6=""),"",IF(HKI!$C79="","",HKI!$C79))</f>
        <v/>
      </c>
      <c r="D79" s="27" t="str">
        <f>IF(OR($C$6="",$J$6="",$M$6=""),"",IF(HKI!$D79="","",HKI!$D79))</f>
        <v/>
      </c>
      <c r="E79" s="44"/>
      <c r="F79" s="44"/>
      <c r="G79" s="45"/>
      <c r="H79" s="45"/>
      <c r="I79" s="45"/>
      <c r="J79" s="45"/>
      <c r="K79" s="44"/>
      <c r="L79" s="45"/>
      <c r="M79" s="45"/>
      <c r="N79" s="45"/>
      <c r="O79" s="198" t="str">
        <f>IF($B79="","",IF(OR($C$6="",$J$6="",$M$6=""),"",IF(ISNUMBER($E79)=TRUE,$E79,IF(COUNT($F79:$N79)=0,"",ROUND(SUM($F79:$N79)/COUNT($F79:$N79),1)))))</f>
        <v/>
      </c>
      <c r="P79" s="214" t="str">
        <f>IF($B79="","",IF(OR($C$6="",$J$6="",$M$6=""),"",IF($O79="","KXL",IF($O79&lt;4,"Kém",IF($O79&lt;5.5,"TB Yếu",IF($O79&lt;7,"T.Bình",IF(O79&lt;8.5,"Khá","Giỏi")))))))</f>
        <v/>
      </c>
    </row>
    <row r="80" spans="1:16" ht="18" customHeight="1">
      <c r="A80" s="123" t="str">
        <f>IF(OR($C$6="",$J$6="",$M$6=""),"",IF($B80="","",SUBTOTAL(3,$B$11:B80)))</f>
        <v/>
      </c>
      <c r="B80" s="25" t="str">
        <f>IF(OR($C$6="",$J$6="",$M$6=""),"",IF(HKI!$B80="","",HKI!$B80))</f>
        <v/>
      </c>
      <c r="C80" s="26" t="str">
        <f>IF(OR($C$6="",$J$6="",$M$6=""),"",IF(HKI!$C80="","",HKI!$C80))</f>
        <v/>
      </c>
      <c r="D80" s="27" t="str">
        <f>IF(OR($C$6="",$J$6="",$M$6=""),"",IF(HKI!$D80="","",HKI!$D80))</f>
        <v/>
      </c>
      <c r="E80" s="44"/>
      <c r="F80" s="44"/>
      <c r="G80" s="45"/>
      <c r="H80" s="45"/>
      <c r="I80" s="45"/>
      <c r="J80" s="45"/>
      <c r="K80" s="44"/>
      <c r="L80" s="45"/>
      <c r="M80" s="45"/>
      <c r="N80" s="45"/>
      <c r="O80" s="198" t="str">
        <f>IF($B80="","",IF(OR($C$6="",$J$6="",$M$6=""),"",IF(ISNUMBER($E80)=TRUE,$E80,IF(COUNT($F80:$N80)=0,"",ROUND(SUM($F80:$N80)/COUNT($F80:$N80),1)))))</f>
        <v/>
      </c>
      <c r="P80" s="214" t="str">
        <f>IF($B80="","",IF(OR($C$6="",$J$6="",$M$6=""),"",IF($O80="","KXL",IF($O80&lt;4,"Kém",IF($O80&lt;5.5,"TB Yếu",IF($O80&lt;7,"T.Bình",IF(O80&lt;8.5,"Khá","Giỏi")))))))</f>
        <v/>
      </c>
    </row>
    <row r="81" spans="1:16" s="146" customFormat="1" ht="17.25" customHeight="1">
      <c r="A81" s="696" t="s">
        <v>1164</v>
      </c>
      <c r="B81" s="653"/>
      <c r="C81" s="653"/>
      <c r="D81" s="653"/>
      <c r="E81" s="653"/>
      <c r="F81" s="653"/>
      <c r="G81" s="653"/>
      <c r="H81" s="653"/>
      <c r="I81" s="653"/>
      <c r="J81" s="653"/>
      <c r="K81" s="653"/>
      <c r="L81" s="653"/>
      <c r="M81" s="653"/>
      <c r="N81" s="653"/>
      <c r="O81" s="653"/>
      <c r="P81" s="56"/>
    </row>
    <row r="82" spans="1:16" s="146" customFormat="1">
      <c r="A82" s="136"/>
      <c r="B82" s="651" t="str">
        <f>"Tổng danh sách có"</f>
        <v>Tổng danh sách có</v>
      </c>
      <c r="C82" s="651"/>
      <c r="D82" s="651"/>
      <c r="E82" s="651"/>
      <c r="F82" s="686" t="str">
        <f>": "&amp;MAX($A$11:$A$75)&amp;" SV"</f>
        <v>: 50 SV</v>
      </c>
      <c r="G82" s="686"/>
      <c r="L82" s="147"/>
      <c r="M82" s="147"/>
      <c r="N82" s="147"/>
      <c r="O82" s="147"/>
      <c r="P82" s="136"/>
    </row>
    <row r="83" spans="1:16" s="146" customFormat="1" ht="14.1" customHeight="1">
      <c r="A83" s="148"/>
      <c r="B83" s="643" t="str">
        <f>"Tổng số SV có điểm Giỏi từ 8,5 đ đến 10 đ"</f>
        <v>Tổng số SV có điểm Giỏi từ 8,5 đ đến 10 đ</v>
      </c>
      <c r="C83" s="643"/>
      <c r="D83" s="643"/>
      <c r="E83" s="643"/>
      <c r="F83" s="643" t="str">
        <f>": "&amp;COUNTIF($P$11:$P$80,"Giỏi")&amp;" SV"</f>
        <v>: 1 SV</v>
      </c>
      <c r="G83" s="643"/>
      <c r="H83" s="674" t="str">
        <f>IF($B11="","","("&amp;ROUND(COUNTIF($P$11:$P$80,"Giỏi")*100/MAX($A$11:$A$80),2)&amp;"%"&amp;")")</f>
        <v>(2%)</v>
      </c>
      <c r="I83" s="674"/>
      <c r="J83" s="645" t="str">
        <f>"Tổng số SV có điểm &gt;= 4 đ : "&amp;COUNTIF($O$11:$O$80,"&gt;=4")&amp;" SV"&amp;" ("&amp;ROUND(COUNTIF($O$11:$O$80,"&gt;=4")*100/IF($B11="",1,MAX($A$11:$A$80)),2)&amp;"%" &amp;")"</f>
        <v>Tổng số SV có điểm &gt;= 4 đ : 45 SV (90%)</v>
      </c>
      <c r="K83" s="645"/>
      <c r="L83" s="645"/>
      <c r="M83" s="645"/>
      <c r="N83" s="645"/>
      <c r="O83" s="645"/>
      <c r="P83" s="13"/>
    </row>
    <row r="84" spans="1:16" s="146" customFormat="1" ht="14.1" customHeight="1">
      <c r="A84" s="148"/>
      <c r="B84" s="643" t="str">
        <f>"Tổng số SV có điểm Khá từ 7 đ đến &lt;8,5 đ"</f>
        <v>Tổng số SV có điểm Khá từ 7 đ đến &lt;8,5 đ</v>
      </c>
      <c r="C84" s="643"/>
      <c r="D84" s="643"/>
      <c r="E84" s="643"/>
      <c r="F84" s="643" t="str">
        <f>": "&amp;COUNTIF($P$11:$P$80,"Khá")&amp;" SV"</f>
        <v>: 19 SV</v>
      </c>
      <c r="G84" s="643"/>
      <c r="H84" s="674" t="str">
        <f>IF($B11="","","("&amp;ROUND(COUNTIF($P$11:$P$80,"Khá")*100/MAX($A$11:$A$80),2)&amp;"%" &amp;")")</f>
        <v>(38%)</v>
      </c>
      <c r="I84" s="674"/>
      <c r="J84" s="645"/>
      <c r="K84" s="645"/>
      <c r="L84" s="645"/>
      <c r="M84" s="645"/>
      <c r="N84" s="645"/>
      <c r="O84" s="645"/>
      <c r="P84" s="13"/>
    </row>
    <row r="85" spans="1:16" s="146" customFormat="1" ht="14.1" customHeight="1">
      <c r="A85" s="148"/>
      <c r="B85" s="643" t="str">
        <f>"Tổng số SV có điểm Trung bình từ 5,5 đ đến &lt;7 đ"</f>
        <v>Tổng số SV có điểm Trung bình từ 5,5 đ đến &lt;7 đ</v>
      </c>
      <c r="C85" s="643"/>
      <c r="D85" s="643"/>
      <c r="E85" s="643"/>
      <c r="F85" s="643" t="str">
        <f>": "&amp;COUNTIF($P$11:$P$80,"T.Bình")&amp;" SV"</f>
        <v>: 22 SV</v>
      </c>
      <c r="G85" s="643"/>
      <c r="H85" s="674" t="str">
        <f>IF($B11="","","("&amp;ROUND(COUNTIF($P$11:$P$80,"TB")*100/MAX($A$11:$A$80),2)&amp;"%" &amp;")")</f>
        <v>(0%)</v>
      </c>
      <c r="I85" s="674"/>
      <c r="J85" s="645"/>
      <c r="K85" s="645"/>
      <c r="L85" s="645"/>
      <c r="M85" s="645"/>
      <c r="N85" s="645"/>
      <c r="O85" s="645"/>
      <c r="P85" s="13"/>
    </row>
    <row r="86" spans="1:16" s="146" customFormat="1" ht="14.1" customHeight="1">
      <c r="A86" s="148"/>
      <c r="B86" s="643" t="str">
        <f>"Tổng số SV có điểm Trung bình yếu từ 4 đ đến &lt;5,5 đ"</f>
        <v>Tổng số SV có điểm Trung bình yếu từ 4 đ đến &lt;5,5 đ</v>
      </c>
      <c r="C86" s="643"/>
      <c r="D86" s="643"/>
      <c r="E86" s="643"/>
      <c r="F86" s="643" t="str">
        <f>": "&amp;COUNTIF($P$11:$P$80,"TB Yếu")&amp;" SV"</f>
        <v>: 3 SV</v>
      </c>
      <c r="G86" s="643"/>
      <c r="H86" s="674" t="str">
        <f>IF($B11="","","("&amp;ROUND(COUNTIF($P$11:$P$80,"TBY")*100/MAX($A$11:$A$80),2)&amp;"%" &amp;")")</f>
        <v>(0%)</v>
      </c>
      <c r="I86" s="674"/>
      <c r="J86" s="644" t="str">
        <f>"Tổng số SV có điểm &lt; 4 đ : "&amp;COUNTIF($O$11:$O$80,"&lt;4")&amp;" SV"&amp;" ("&amp;ROUND(COUNTIF($O$11:$O$80,"&lt;4")*100/IF($B11="",1,MAX($A$11:$A$80)),2)&amp;"%" &amp;")"</f>
        <v>Tổng số SV có điểm &lt; 4 đ : 5 SV (10%)</v>
      </c>
      <c r="K86" s="644"/>
      <c r="L86" s="644"/>
      <c r="M86" s="644"/>
      <c r="N86" s="644"/>
      <c r="O86" s="644"/>
      <c r="P86" s="28"/>
    </row>
    <row r="87" spans="1:16" s="146" customFormat="1" ht="14.1" customHeight="1">
      <c r="A87" s="148"/>
      <c r="B87" s="643" t="str">
        <f>"Tổng số SV có điểm kém &lt;4 đ"</f>
        <v>Tổng số SV có điểm kém &lt;4 đ</v>
      </c>
      <c r="C87" s="643"/>
      <c r="D87" s="643"/>
      <c r="E87" s="643"/>
      <c r="F87" s="643" t="str">
        <f>": "&amp;COUNTIF($P$11:$P$80,"Kém")&amp;" SV"</f>
        <v>: 5 SV</v>
      </c>
      <c r="G87" s="643"/>
      <c r="H87" s="674" t="str">
        <f>IF($B11="","","("&amp;ROUND(COUNTIF($P$11:$P$80,"Kém")*100/MAX($A$11:$A$80),2)&amp;"%"&amp;")")</f>
        <v>(10%)</v>
      </c>
      <c r="I87" s="674"/>
      <c r="J87" s="644"/>
      <c r="K87" s="644"/>
      <c r="L87" s="644"/>
      <c r="M87" s="644"/>
      <c r="N87" s="644"/>
      <c r="O87" s="644"/>
      <c r="P87" s="28"/>
    </row>
    <row r="88" spans="1:16" s="146" customFormat="1" ht="14.1" customHeight="1">
      <c r="A88" s="148"/>
      <c r="B88" s="643" t="str">
        <f>"Tổng số SV không xếp loại vì chưa đủ điều kiện"</f>
        <v>Tổng số SV không xếp loại vì chưa đủ điều kiện</v>
      </c>
      <c r="C88" s="643"/>
      <c r="D88" s="643"/>
      <c r="E88" s="643"/>
      <c r="F88" s="643" t="str">
        <f>": "&amp;COUNTIF($P$11:$P$80,"KXL")&amp;" SV"</f>
        <v>: 0 SV</v>
      </c>
      <c r="G88" s="643"/>
      <c r="H88" s="674" t="str">
        <f>IF($B11="","","("&amp;ROUND(COUNTIF($P$11:$P$80,"KXL")*100/MAX($A$11:$A$80),2)&amp;"%"&amp;")")</f>
        <v>(0%)</v>
      </c>
      <c r="I88" s="674"/>
      <c r="J88" s="644"/>
      <c r="K88" s="644"/>
      <c r="L88" s="644"/>
      <c r="M88" s="644"/>
      <c r="N88" s="644"/>
      <c r="O88" s="644"/>
      <c r="P88" s="28"/>
    </row>
    <row r="89" spans="1:16" ht="15.75">
      <c r="B89" s="149"/>
      <c r="C89" s="149"/>
      <c r="D89" s="149"/>
      <c r="E89" s="149"/>
      <c r="F89" s="149"/>
      <c r="G89" s="149"/>
      <c r="H89" s="149"/>
      <c r="I89" s="149"/>
      <c r="J89" s="149"/>
      <c r="K89" s="149"/>
      <c r="L89" s="149"/>
      <c r="M89" s="149"/>
      <c r="N89" s="149"/>
    </row>
    <row r="90" spans="1:16" ht="15.75" customHeight="1">
      <c r="A90" s="636" t="s">
        <v>190</v>
      </c>
      <c r="B90" s="636"/>
      <c r="C90" s="636"/>
      <c r="D90" s="636" t="s">
        <v>256</v>
      </c>
      <c r="E90" s="636"/>
      <c r="F90" s="636"/>
      <c r="G90" s="636"/>
      <c r="H90" s="636"/>
      <c r="I90" s="138"/>
      <c r="J90" s="636" t="s">
        <v>257</v>
      </c>
      <c r="K90" s="636"/>
      <c r="L90" s="636"/>
      <c r="M90" s="636"/>
      <c r="N90" s="636"/>
      <c r="O90" s="162"/>
      <c r="P90" s="162"/>
    </row>
    <row r="96" spans="1:16" ht="15.75" customHeight="1">
      <c r="A96" s="162"/>
      <c r="B96" s="162"/>
      <c r="C96" s="162"/>
      <c r="D96" s="162"/>
      <c r="E96" s="162"/>
      <c r="F96" s="162"/>
      <c r="G96" s="162"/>
      <c r="H96" s="162"/>
      <c r="I96" s="138"/>
      <c r="J96" s="162"/>
      <c r="K96" s="162"/>
      <c r="L96" s="162"/>
      <c r="M96" s="162"/>
      <c r="N96" s="162"/>
      <c r="O96" s="162"/>
      <c r="P96" s="162"/>
    </row>
  </sheetData>
  <sheetProtection sheet="1" formatCells="0" formatColumns="0" formatRows="0" autoFilter="0"/>
  <mergeCells count="55">
    <mergeCell ref="G1:O1"/>
    <mergeCell ref="G2:O2"/>
    <mergeCell ref="A90:C90"/>
    <mergeCell ref="G7:I7"/>
    <mergeCell ref="E8:E10"/>
    <mergeCell ref="B87:E87"/>
    <mergeCell ref="F87:G87"/>
    <mergeCell ref="H9:H10"/>
    <mergeCell ref="A8:A10"/>
    <mergeCell ref="G9:G10"/>
    <mergeCell ref="F83:G83"/>
    <mergeCell ref="C8:D10"/>
    <mergeCell ref="N9:N10"/>
    <mergeCell ref="D90:H90"/>
    <mergeCell ref="J90:N90"/>
    <mergeCell ref="H86:I86"/>
    <mergeCell ref="P8:P10"/>
    <mergeCell ref="J7:L7"/>
    <mergeCell ref="A2:F2"/>
    <mergeCell ref="K6:L6"/>
    <mergeCell ref="J9:J10"/>
    <mergeCell ref="F9:F10"/>
    <mergeCell ref="A4:O4"/>
    <mergeCell ref="A5:O5"/>
    <mergeCell ref="O8:O10"/>
    <mergeCell ref="G6:I6"/>
    <mergeCell ref="L9:L10"/>
    <mergeCell ref="B8:B10"/>
    <mergeCell ref="M6:O6"/>
    <mergeCell ref="M9:M10"/>
    <mergeCell ref="F8:N8"/>
    <mergeCell ref="I9:I10"/>
    <mergeCell ref="B86:E86"/>
    <mergeCell ref="F86:G86"/>
    <mergeCell ref="B88:E88"/>
    <mergeCell ref="F88:G88"/>
    <mergeCell ref="J86:O88"/>
    <mergeCell ref="H87:I87"/>
    <mergeCell ref="H88:I88"/>
    <mergeCell ref="A1:F1"/>
    <mergeCell ref="A3:F3"/>
    <mergeCell ref="A81:O81"/>
    <mergeCell ref="J83:O85"/>
    <mergeCell ref="H83:I83"/>
    <mergeCell ref="H84:I84"/>
    <mergeCell ref="H85:I85"/>
    <mergeCell ref="B85:E85"/>
    <mergeCell ref="F85:G85"/>
    <mergeCell ref="B83:E83"/>
    <mergeCell ref="B84:E84"/>
    <mergeCell ref="F84:G84"/>
    <mergeCell ref="B82:E82"/>
    <mergeCell ref="F82:G82"/>
    <mergeCell ref="C6:F6"/>
    <mergeCell ref="K9:K10"/>
  </mergeCells>
  <phoneticPr fontId="11" type="noConversion"/>
  <conditionalFormatting sqref="O11:O80">
    <cfRule type="cellIs" dxfId="0" priority="1" stopIfTrue="1" operator="lessThan">
      <formula>5</formula>
    </cfRule>
  </conditionalFormatting>
  <dataValidations count="3">
    <dataValidation type="decimal" allowBlank="1" showInputMessage="1" showErrorMessage="1" sqref="E11:E80 F64:N80 L11:N55 K63">
      <formula1>0</formula1>
      <formula2>10</formula2>
    </dataValidation>
    <dataValidation type="whole" allowBlank="1" showInputMessage="1" showErrorMessage="1" errorTitle="Nhap sai" error="Hãy nhập lại_x000a_0 ≤ Điểm ≤ 10" sqref="L56:M63 F11:I62 F63:J63">
      <formula1>0</formula1>
      <formula2>10</formula2>
    </dataValidation>
    <dataValidation type="decimal" allowBlank="1" showInputMessage="1" showErrorMessage="1" errorTitle="Nhap sai" error="Hãy nhập lại_x000a_0 ≤ Điểm ≤ 10" sqref="N56:N63 J11:K62">
      <formula1>0</formula1>
      <formula2>10</formula2>
    </dataValidation>
  </dataValidations>
  <printOptions horizontalCentered="1"/>
  <pageMargins left="0.5" right="0" top="0.25" bottom="0.25" header="0.25" footer="0.25"/>
  <pageSetup paperSize="9" scale="95" orientation="portrait" horizontalDpi="1200" verticalDpi="1200"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BD86"/>
  <sheetViews>
    <sheetView topLeftCell="B73" workbookViewId="0">
      <selection activeCell="B35" sqref="A35:IV35"/>
    </sheetView>
  </sheetViews>
  <sheetFormatPr defaultRowHeight="15.75"/>
  <cols>
    <col min="1" max="1" width="5" style="106" bestFit="1" customWidth="1"/>
    <col min="2" max="2" width="13.7109375" style="106" bestFit="1" customWidth="1"/>
    <col min="3" max="3" width="22.42578125" style="106" bestFit="1" customWidth="1"/>
    <col min="4" max="4" width="8.140625" style="106" bestFit="1" customWidth="1"/>
    <col min="5" max="5" width="5.42578125" style="106" bestFit="1" customWidth="1"/>
    <col min="6" max="6" width="5.42578125" style="106" customWidth="1"/>
    <col min="7" max="8" width="10.28515625" style="106" customWidth="1"/>
    <col min="9" max="18" width="10.28515625" style="104" customWidth="1"/>
    <col min="19" max="20" width="6.85546875" style="104" bestFit="1" customWidth="1"/>
    <col min="21" max="40" width="6.85546875" style="106" bestFit="1" customWidth="1"/>
    <col min="41" max="45" width="4.28515625" style="106" customWidth="1"/>
    <col min="46" max="46" width="5.140625" style="106" bestFit="1" customWidth="1"/>
    <col min="47" max="48" width="4.28515625" style="106" customWidth="1"/>
    <col min="49" max="56" width="4.28515625" style="221" customWidth="1"/>
    <col min="57" max="66" width="4.28515625" style="106" customWidth="1"/>
    <col min="67" max="67" width="5.140625" style="106" bestFit="1" customWidth="1"/>
    <col min="68" max="69" width="4.28515625" style="106" customWidth="1"/>
    <col min="70" max="16384" width="9.140625" style="106"/>
  </cols>
  <sheetData>
    <row r="1" spans="1:56">
      <c r="A1" s="698" t="s">
        <v>238</v>
      </c>
      <c r="B1" s="698"/>
      <c r="C1" s="698"/>
      <c r="D1" s="698"/>
      <c r="E1" s="698"/>
      <c r="F1" s="698"/>
      <c r="G1" s="698"/>
      <c r="H1" s="698"/>
      <c r="I1" s="698"/>
      <c r="J1" s="117"/>
      <c r="K1" s="117"/>
      <c r="L1" s="117"/>
      <c r="M1" s="117"/>
      <c r="N1" s="117"/>
      <c r="O1" s="117"/>
      <c r="P1" s="117"/>
      <c r="Q1" s="117"/>
      <c r="R1" s="117"/>
      <c r="S1" s="220"/>
      <c r="T1" s="220"/>
      <c r="U1" s="220"/>
    </row>
    <row r="2" spans="1:56">
      <c r="A2" s="707" t="s">
        <v>1165</v>
      </c>
      <c r="B2" s="707"/>
      <c r="C2" s="707"/>
      <c r="D2" s="707"/>
      <c r="E2" s="707"/>
      <c r="F2" s="707"/>
      <c r="G2" s="707"/>
      <c r="H2" s="707"/>
      <c r="I2" s="707"/>
      <c r="J2" s="220"/>
      <c r="K2" s="220"/>
      <c r="L2" s="220"/>
      <c r="M2" s="220"/>
      <c r="N2" s="220"/>
      <c r="O2" s="220"/>
      <c r="P2" s="220"/>
      <c r="Q2" s="220"/>
      <c r="R2" s="220"/>
      <c r="S2" s="220"/>
      <c r="T2" s="220"/>
      <c r="U2" s="220"/>
    </row>
    <row r="3" spans="1:56">
      <c r="B3" s="222" t="s">
        <v>187</v>
      </c>
      <c r="C3" s="222" t="str">
        <f>IF($B8="","",IF(ISNA(VLOOKUP($B8,'DS LOP HKI'!$B$2:$F$936,5,FALSE))=TRUE,"",VLOOKUP($B8,'DS LOP HKI'!$B$2:$F$936,5,FALSE)))</f>
        <v>13CĐ-Đ1</v>
      </c>
      <c r="E3" s="708" t="s">
        <v>300</v>
      </c>
      <c r="F3" s="708"/>
      <c r="G3" s="223">
        <f>IF($B8="",0,MAX($A$8:$A$78))</f>
        <v>50</v>
      </c>
      <c r="I3" s="117"/>
      <c r="J3" s="117"/>
      <c r="K3" s="117"/>
      <c r="L3" s="117"/>
      <c r="M3" s="117"/>
      <c r="N3" s="117"/>
      <c r="O3" s="117"/>
      <c r="P3" s="117"/>
      <c r="Q3" s="117"/>
      <c r="R3" s="117"/>
      <c r="S3" s="117"/>
      <c r="T3" s="117"/>
      <c r="U3" s="117"/>
    </row>
    <row r="4" spans="1:56" ht="22.5" customHeight="1">
      <c r="A4" s="700" t="s">
        <v>999</v>
      </c>
      <c r="B4" s="700"/>
      <c r="C4" s="700"/>
      <c r="D4" s="700"/>
      <c r="E4" s="700"/>
      <c r="F4" s="700"/>
      <c r="G4" s="700"/>
      <c r="H4" s="700"/>
      <c r="I4" s="700"/>
      <c r="J4" s="700"/>
      <c r="K4" s="700"/>
      <c r="L4" s="700"/>
      <c r="M4" s="700"/>
      <c r="N4" s="700"/>
      <c r="O4" s="700"/>
      <c r="P4" s="700"/>
      <c r="Q4" s="700"/>
      <c r="R4" s="700"/>
      <c r="S4" s="224"/>
      <c r="T4" s="224"/>
      <c r="U4" s="224"/>
      <c r="V4" s="224"/>
      <c r="W4" s="224"/>
      <c r="X4" s="224"/>
      <c r="Y4" s="224"/>
      <c r="Z4" s="224"/>
      <c r="AA4" s="224"/>
      <c r="AB4" s="224"/>
      <c r="AC4" s="224"/>
      <c r="AD4" s="224"/>
      <c r="AE4" s="224"/>
      <c r="AF4" s="224"/>
      <c r="AG4" s="224"/>
      <c r="AH4" s="224"/>
      <c r="AI4" s="224"/>
      <c r="AJ4" s="224"/>
      <c r="AK4" s="224"/>
      <c r="AL4" s="224"/>
      <c r="AM4" s="224"/>
      <c r="AN4" s="224"/>
    </row>
    <row r="5" spans="1:56" ht="18" customHeight="1">
      <c r="B5" s="225"/>
      <c r="C5" s="226" t="s">
        <v>253</v>
      </c>
      <c r="D5" s="227" t="s">
        <v>2693</v>
      </c>
      <c r="E5" s="227"/>
      <c r="F5" s="227"/>
      <c r="G5" s="699" t="s">
        <v>254</v>
      </c>
      <c r="H5" s="699"/>
      <c r="I5" s="699" t="s">
        <v>2697</v>
      </c>
      <c r="J5" s="699"/>
      <c r="K5" s="227"/>
      <c r="L5" s="227"/>
      <c r="M5" s="227"/>
      <c r="N5" s="227"/>
      <c r="O5" s="456"/>
      <c r="P5" s="227"/>
      <c r="Q5" s="227"/>
      <c r="R5" s="227"/>
      <c r="S5" s="228"/>
      <c r="T5" s="228"/>
      <c r="U5" s="224"/>
    </row>
    <row r="6" spans="1:56" ht="77.25" customHeight="1">
      <c r="A6" s="50" t="s">
        <v>272</v>
      </c>
      <c r="B6" s="51" t="s">
        <v>188</v>
      </c>
      <c r="C6" s="709" t="s">
        <v>189</v>
      </c>
      <c r="D6" s="709"/>
      <c r="E6" s="50" t="s">
        <v>298</v>
      </c>
      <c r="F6" s="50" t="s">
        <v>1138</v>
      </c>
      <c r="G6" s="9" t="str">
        <f>IF('LT01'!$C$6="","",'LT01'!$C$6)</f>
        <v>Đường lối CM của Đảng cộng sản VN</v>
      </c>
      <c r="H6" s="9" t="str">
        <f>IF('LT02'!$C$6="","",'LT02'!$C$6)</f>
        <v>Điều khiển lập trình PLC 1</v>
      </c>
      <c r="I6" s="9" t="str">
        <f>IF('LT03'!$C$6="","",'LT03'!$C$6)</f>
        <v>Truyền động điện và ứng dụng</v>
      </c>
      <c r="J6" s="9" t="str">
        <f>IF('LT04'!$C$6="","",'LT04'!$C$6)</f>
        <v>Nhà máy điện và trạm biến áp</v>
      </c>
      <c r="K6" s="9" t="str">
        <f>IF('LT05'!$C$6="","",'LT05'!$C$6)</f>
        <v>Điện công nghiệp</v>
      </c>
      <c r="L6" s="9" t="str">
        <f>IF('LT06'!$C$6="","",'LT06'!$C$6)</f>
        <v/>
      </c>
      <c r="M6" s="9" t="str">
        <f>IF('LT07'!$C$6="","",'LT07'!$C$6)</f>
        <v/>
      </c>
      <c r="N6" s="9" t="str">
        <f>IF('DO AN'!$C$6="","",'DO AN'!$C$6)</f>
        <v/>
      </c>
      <c r="O6" s="9" t="str">
        <f>IF('DO AN 2'!$C$6="","",'DO AN 2'!$C$6)</f>
        <v/>
      </c>
      <c r="P6" s="9" t="str">
        <f>IF('TH01'!$C$6="","",'TH01'!$C$6)</f>
        <v>Thực tập Máy điện</v>
      </c>
      <c r="Q6" s="9" t="str">
        <f>IF('TH02'!$C$6="","",'TH02'!$C$6)</f>
        <v>Thực tập Vi xử lý và PLC</v>
      </c>
      <c r="R6" s="9" t="str">
        <f>IF('TH03'!$C$6="","",'TH03'!$C$6)</f>
        <v>Thực tập Đo lường cảm biến</v>
      </c>
      <c r="S6" s="106"/>
      <c r="T6" s="106"/>
      <c r="AW6" s="106"/>
      <c r="AX6" s="106"/>
      <c r="AY6" s="106"/>
      <c r="AZ6" s="106"/>
      <c r="BA6" s="106"/>
      <c r="BB6" s="106"/>
      <c r="BC6" s="106"/>
      <c r="BD6" s="106"/>
    </row>
    <row r="7" spans="1:56">
      <c r="A7" s="50"/>
      <c r="B7" s="51"/>
      <c r="C7" s="704" t="s">
        <v>998</v>
      </c>
      <c r="D7" s="705"/>
      <c r="E7" s="705"/>
      <c r="F7" s="706"/>
      <c r="G7" s="9">
        <f>IF('LT01'!$I$6="","",'LT01'!$I$6)</f>
        <v>3</v>
      </c>
      <c r="H7" s="9">
        <f>IF('LT02'!$I$6="","",'LT02'!$I$6)</f>
        <v>2</v>
      </c>
      <c r="I7" s="9">
        <f>IF('LT03'!$I$6="","",'LT03'!$I$6)</f>
        <v>2</v>
      </c>
      <c r="J7" s="9">
        <f>IF('LT04'!$I$6="","",'LT04'!$I$6)</f>
        <v>2</v>
      </c>
      <c r="K7" s="9">
        <f>IF('LT05'!$I$6="","",'LT05'!$I$6)</f>
        <v>3</v>
      </c>
      <c r="L7" s="9" t="str">
        <f>IF('LT06'!$I$6="","",'LT06'!$I$6)</f>
        <v/>
      </c>
      <c r="M7" s="9" t="str">
        <f>IF('LT07'!$I$6="","",'LT07'!$I$6)</f>
        <v/>
      </c>
      <c r="N7" s="9" t="str">
        <f>IF('DO AN'!$J$6="","",'DO AN'!$J$6)</f>
        <v/>
      </c>
      <c r="O7" s="9" t="str">
        <f>IF('DO AN 2'!$J$6="","",'DO AN 2'!$J$6)</f>
        <v/>
      </c>
      <c r="P7" s="9">
        <f>IF('TH01'!$J$6="","",'TH01'!$J$6)</f>
        <v>2</v>
      </c>
      <c r="Q7" s="9">
        <f>IF('TH02'!$J$6="","",'TH02'!$J$6)</f>
        <v>2</v>
      </c>
      <c r="R7" s="9">
        <f>IF('TH03'!$J$6="","",'TH03'!$J$6)</f>
        <v>2</v>
      </c>
      <c r="S7" s="106"/>
      <c r="T7" s="106"/>
      <c r="AW7" s="106"/>
      <c r="AX7" s="106"/>
      <c r="AY7" s="106"/>
      <c r="AZ7" s="106"/>
      <c r="BA7" s="106"/>
      <c r="BB7" s="106"/>
      <c r="BC7" s="106"/>
      <c r="BD7" s="106"/>
    </row>
    <row r="8" spans="1:56" ht="18" customHeight="1">
      <c r="A8" s="123">
        <f>IF(B8="",1,SUBTOTAL(3,$B$8:B8))</f>
        <v>1</v>
      </c>
      <c r="B8" s="215" t="str">
        <f>IF(HKI!$B11="","",HKI!B11)</f>
        <v>13D301Đ001</v>
      </c>
      <c r="C8" s="216" t="str">
        <f>IF(HKI!$B11="","",HKI!C11)</f>
        <v>Lương Hoàng Thuận</v>
      </c>
      <c r="D8" s="218" t="str">
        <f>IF(HKI!$B11="","",HKI!D11)</f>
        <v>An</v>
      </c>
      <c r="E8" s="207" t="str">
        <f>IF(COUNTIF($G8:$R8,"X")&gt;0,COUNTIF($G8:$R8,"X"),"")</f>
        <v/>
      </c>
      <c r="F8" s="207" t="str">
        <f>IF(COUNTIF($G8:$R8,"X")=0,"",SUMIF($G8:$R8,"X",$G$7:$R$7))</f>
        <v/>
      </c>
      <c r="G8" s="7" t="str">
        <f>IF(HKI!$I11&lt;4,"X","")</f>
        <v/>
      </c>
      <c r="H8" s="7" t="str">
        <f>IF(HKI!$M11&lt;4,"X","")</f>
        <v/>
      </c>
      <c r="I8" s="7" t="str">
        <f>IF(HKI!$Q11&lt;4,"X","")</f>
        <v/>
      </c>
      <c r="J8" s="7" t="str">
        <f>IF(HKI!$U11&lt;4,"X","")</f>
        <v/>
      </c>
      <c r="K8" s="7" t="str">
        <f>IF(HKI!$Y11&lt;4,"X","")</f>
        <v/>
      </c>
      <c r="L8" s="7" t="str">
        <f>IF(HKI!$AC11&lt;4,"X","")</f>
        <v/>
      </c>
      <c r="M8" s="7" t="str">
        <f>IF(HKI!$AG11&lt;4,"X","")</f>
        <v/>
      </c>
      <c r="N8" s="7" t="str">
        <f>IF(HKI!$AK11&lt;4,"X","")</f>
        <v/>
      </c>
      <c r="O8" s="7" t="str">
        <f>IF(HKI!$AO11&lt;4,"X","")</f>
        <v/>
      </c>
      <c r="P8" s="7" t="str">
        <f>IF(HKI!$AS11&lt;4,"X","")</f>
        <v/>
      </c>
      <c r="Q8" s="7" t="str">
        <f>IF(HKI!$AW11&lt;4,"X","")</f>
        <v/>
      </c>
      <c r="R8" s="7" t="str">
        <f>IF(HKI!$BA11&lt;4,"X","")</f>
        <v/>
      </c>
      <c r="S8" s="106"/>
      <c r="T8" s="106"/>
      <c r="AW8" s="106"/>
      <c r="AX8" s="106"/>
      <c r="AY8" s="106"/>
      <c r="AZ8" s="106"/>
      <c r="BA8" s="106"/>
      <c r="BB8" s="106"/>
      <c r="BC8" s="106"/>
      <c r="BD8" s="106"/>
    </row>
    <row r="9" spans="1:56" ht="18" customHeight="1">
      <c r="A9" s="123">
        <f>IF(B9="","",SUBTOTAL(3,$B$8:B9))</f>
        <v>2</v>
      </c>
      <c r="B9" s="215" t="str">
        <f>IF(HKI!$B12="","",HKI!B12)</f>
        <v>13D301Đ004</v>
      </c>
      <c r="C9" s="216" t="str">
        <f>IF(HKI!$B12="","",HKI!C12)</f>
        <v>Đặng Thế</v>
      </c>
      <c r="D9" s="218" t="str">
        <f>IF(HKI!$B12="","",HKI!D12)</f>
        <v>Anh</v>
      </c>
      <c r="E9" s="207">
        <f t="shared" ref="E9:E72" si="0">IF(COUNTIF($G9:$R9,"X")&gt;0,COUNTIF($G9:$R9,"X"),"")</f>
        <v>1</v>
      </c>
      <c r="F9" s="207">
        <f t="shared" ref="F9:F72" si="1">IF(COUNTIF($G9:$R9,"X")=0,"",SUMIF($G9:$R9,"X",$G$7:$R$7))</f>
        <v>3</v>
      </c>
      <c r="G9" s="7" t="str">
        <f>IF(HKI!$I12&lt;4,"X","")</f>
        <v/>
      </c>
      <c r="H9" s="7" t="str">
        <f>IF(HKI!$M12&lt;4,"X","")</f>
        <v/>
      </c>
      <c r="I9" s="7" t="str">
        <f>IF(HKI!$Q12&lt;4,"X","")</f>
        <v/>
      </c>
      <c r="J9" s="7" t="str">
        <f>IF(HKI!$U12&lt;4,"X","")</f>
        <v/>
      </c>
      <c r="K9" s="7" t="str">
        <f>IF(HKI!$Y12&lt;4,"X","")</f>
        <v>X</v>
      </c>
      <c r="L9" s="7" t="str">
        <f>IF(HKI!$AC12&lt;4,"X","")</f>
        <v/>
      </c>
      <c r="M9" s="7" t="str">
        <f>IF(HKI!$AG12&lt;4,"X","")</f>
        <v/>
      </c>
      <c r="N9" s="7" t="str">
        <f>IF(HKI!$AK12&lt;4,"X","")</f>
        <v/>
      </c>
      <c r="O9" s="7" t="str">
        <f>IF(HKI!$AO12&lt;4,"X","")</f>
        <v/>
      </c>
      <c r="P9" s="7" t="str">
        <f>IF(HKI!$AS12&lt;4,"X","")</f>
        <v/>
      </c>
      <c r="Q9" s="7" t="str">
        <f>IF(HKI!$AW12&lt;4,"X","")</f>
        <v/>
      </c>
      <c r="R9" s="7" t="str">
        <f>IF(HKI!$BA12&lt;4,"X","")</f>
        <v/>
      </c>
      <c r="S9" s="106"/>
      <c r="T9" s="106"/>
      <c r="AW9" s="106"/>
      <c r="AX9" s="106"/>
      <c r="AY9" s="106"/>
      <c r="AZ9" s="106"/>
      <c r="BA9" s="106"/>
      <c r="BB9" s="106"/>
      <c r="BC9" s="106"/>
      <c r="BD9" s="106"/>
    </row>
    <row r="10" spans="1:56" ht="18" customHeight="1">
      <c r="A10" s="123">
        <f>IF(B10="","",SUBTOTAL(3,$B$8:B10))</f>
        <v>3</v>
      </c>
      <c r="B10" s="215" t="str">
        <f>IF(HKI!$B13="","",HKI!B13)</f>
        <v>13D301Đ149</v>
      </c>
      <c r="C10" s="216" t="str">
        <f>IF(HKI!$B13="","",HKI!C13)</f>
        <v>Đỗ Huỳnh</v>
      </c>
      <c r="D10" s="218" t="str">
        <f>IF(HKI!$B13="","",HKI!D13)</f>
        <v>Bảo</v>
      </c>
      <c r="E10" s="207" t="str">
        <f t="shared" si="0"/>
        <v/>
      </c>
      <c r="F10" s="207" t="str">
        <f t="shared" si="1"/>
        <v/>
      </c>
      <c r="G10" s="7" t="str">
        <f>IF(HKI!$I13&lt;4,"X","")</f>
        <v/>
      </c>
      <c r="H10" s="7" t="str">
        <f>IF(HKI!$M13&lt;4,"X","")</f>
        <v/>
      </c>
      <c r="I10" s="7" t="str">
        <f>IF(HKI!$Q13&lt;4,"X","")</f>
        <v/>
      </c>
      <c r="J10" s="7" t="str">
        <f>IF(HKI!$U13&lt;4,"X","")</f>
        <v/>
      </c>
      <c r="K10" s="7" t="str">
        <f>IF(HKI!$Y13&lt;4,"X","")</f>
        <v/>
      </c>
      <c r="L10" s="7" t="str">
        <f>IF(HKI!$AC13&lt;4,"X","")</f>
        <v/>
      </c>
      <c r="M10" s="7" t="str">
        <f>IF(HKI!$AG13&lt;4,"X","")</f>
        <v/>
      </c>
      <c r="N10" s="7" t="str">
        <f>IF(HKI!$AK13&lt;4,"X","")</f>
        <v/>
      </c>
      <c r="O10" s="7" t="str">
        <f>IF(HKI!$AO13&lt;4,"X","")</f>
        <v/>
      </c>
      <c r="P10" s="7" t="str">
        <f>IF(HKI!$AS13&lt;4,"X","")</f>
        <v/>
      </c>
      <c r="Q10" s="7" t="str">
        <f>IF(HKI!$AW13&lt;4,"X","")</f>
        <v/>
      </c>
      <c r="R10" s="7" t="str">
        <f>IF(HKI!$BA13&lt;4,"X","")</f>
        <v/>
      </c>
      <c r="S10" s="106"/>
      <c r="T10" s="106"/>
      <c r="AW10" s="106"/>
      <c r="AX10" s="106"/>
      <c r="AY10" s="106"/>
      <c r="AZ10" s="106"/>
      <c r="BA10" s="106"/>
      <c r="BB10" s="106"/>
      <c r="BC10" s="106"/>
      <c r="BD10" s="106"/>
    </row>
    <row r="11" spans="1:56" ht="18" customHeight="1">
      <c r="A11" s="123">
        <f>IF(B11="","",SUBTOTAL(3,$B$8:B11))</f>
        <v>4</v>
      </c>
      <c r="B11" s="215" t="str">
        <f>IF(HKI!$B14="","",HKI!B14)</f>
        <v>13D301Đ008</v>
      </c>
      <c r="C11" s="216" t="str">
        <f>IF(HKI!$B14="","",HKI!C14)</f>
        <v>Trương Vũ</v>
      </c>
      <c r="D11" s="218" t="str">
        <f>IF(HKI!$B14="","",HKI!D14)</f>
        <v>Bảo</v>
      </c>
      <c r="E11" s="207" t="str">
        <f t="shared" si="0"/>
        <v/>
      </c>
      <c r="F11" s="207" t="str">
        <f t="shared" si="1"/>
        <v/>
      </c>
      <c r="G11" s="7" t="str">
        <f>IF(HKI!$I14&lt;4,"X","")</f>
        <v/>
      </c>
      <c r="H11" s="7" t="str">
        <f>IF(HKI!$M14&lt;4,"X","")</f>
        <v/>
      </c>
      <c r="I11" s="7" t="str">
        <f>IF(HKI!$Q14&lt;4,"X","")</f>
        <v/>
      </c>
      <c r="J11" s="7" t="str">
        <f>IF(HKI!$U14&lt;4,"X","")</f>
        <v/>
      </c>
      <c r="K11" s="7" t="str">
        <f>IF(HKI!$Y14&lt;4,"X","")</f>
        <v/>
      </c>
      <c r="L11" s="7" t="str">
        <f>IF(HKI!$AC14&lt;4,"X","")</f>
        <v/>
      </c>
      <c r="M11" s="7" t="str">
        <f>IF(HKI!$AG14&lt;4,"X","")</f>
        <v/>
      </c>
      <c r="N11" s="7" t="str">
        <f>IF(HKI!$AK14&lt;4,"X","")</f>
        <v/>
      </c>
      <c r="O11" s="7" t="str">
        <f>IF(HKI!$AO14&lt;4,"X","")</f>
        <v/>
      </c>
      <c r="P11" s="7" t="str">
        <f>IF(HKI!$AS14&lt;4,"X","")</f>
        <v/>
      </c>
      <c r="Q11" s="7" t="str">
        <f>IF(HKI!$AW14&lt;4,"X","")</f>
        <v/>
      </c>
      <c r="R11" s="7" t="str">
        <f>IF(HKI!$BA14&lt;4,"X","")</f>
        <v/>
      </c>
      <c r="S11" s="106"/>
      <c r="T11" s="106"/>
      <c r="AW11" s="106"/>
      <c r="AX11" s="106"/>
      <c r="AY11" s="106"/>
      <c r="AZ11" s="106"/>
      <c r="BA11" s="106"/>
      <c r="BB11" s="106"/>
      <c r="BC11" s="106"/>
      <c r="BD11" s="106"/>
    </row>
    <row r="12" spans="1:56" ht="18" customHeight="1">
      <c r="A12" s="123">
        <f>IF(B12="","",SUBTOTAL(3,$B$8:B12))</f>
        <v>5</v>
      </c>
      <c r="B12" s="215" t="str">
        <f>IF(HKI!$B15="","",HKI!B15)</f>
        <v>13D301Đ009</v>
      </c>
      <c r="C12" s="216" t="str">
        <f>IF(HKI!$B15="","",HKI!C15)</f>
        <v>Võ Thành</v>
      </c>
      <c r="D12" s="218" t="str">
        <f>IF(HKI!$B15="","",HKI!D15)</f>
        <v>Bảo</v>
      </c>
      <c r="E12" s="207">
        <f t="shared" si="0"/>
        <v>2</v>
      </c>
      <c r="F12" s="207">
        <f t="shared" si="1"/>
        <v>5</v>
      </c>
      <c r="G12" s="7" t="str">
        <f>IF(HKI!$I15&lt;4,"X","")</f>
        <v/>
      </c>
      <c r="H12" s="7" t="str">
        <f>IF(HKI!$M15&lt;4,"X","")</f>
        <v/>
      </c>
      <c r="I12" s="7" t="str">
        <f>IF(HKI!$Q15&lt;4,"X","")</f>
        <v/>
      </c>
      <c r="J12" s="7" t="str">
        <f>IF(HKI!$U15&lt;4,"X","")</f>
        <v/>
      </c>
      <c r="K12" s="7" t="str">
        <f>IF(HKI!$Y15&lt;4,"X","")</f>
        <v>X</v>
      </c>
      <c r="L12" s="7" t="str">
        <f>IF(HKI!$AC15&lt;4,"X","")</f>
        <v/>
      </c>
      <c r="M12" s="7" t="str">
        <f>IF(HKI!$AG15&lt;4,"X","")</f>
        <v/>
      </c>
      <c r="N12" s="7" t="str">
        <f>IF(HKI!$AK15&lt;4,"X","")</f>
        <v/>
      </c>
      <c r="O12" s="7" t="str">
        <f>IF(HKI!$AO15&lt;4,"X","")</f>
        <v/>
      </c>
      <c r="P12" s="7" t="str">
        <f>IF(HKI!$AS15&lt;4,"X","")</f>
        <v/>
      </c>
      <c r="Q12" s="7" t="str">
        <f>IF(HKI!$AW15&lt;4,"X","")</f>
        <v>X</v>
      </c>
      <c r="R12" s="7" t="str">
        <f>IF(HKI!$BA15&lt;4,"X","")</f>
        <v/>
      </c>
      <c r="S12" s="106"/>
      <c r="T12" s="106"/>
      <c r="AW12" s="106"/>
      <c r="AX12" s="106"/>
      <c r="AY12" s="106"/>
      <c r="AZ12" s="106"/>
      <c r="BA12" s="106"/>
      <c r="BB12" s="106"/>
      <c r="BC12" s="106"/>
      <c r="BD12" s="106"/>
    </row>
    <row r="13" spans="1:56" ht="18" customHeight="1">
      <c r="A13" s="123">
        <f>IF(B13="","",SUBTOTAL(3,$B$8:B13))</f>
        <v>6</v>
      </c>
      <c r="B13" s="215" t="str">
        <f>IF(HKI!$B16="","",HKI!B16)</f>
        <v>13D301Đ013</v>
      </c>
      <c r="C13" s="216" t="str">
        <f>IF(HKI!$B16="","",HKI!C16)</f>
        <v>Nguyễn Chí</v>
      </c>
      <c r="D13" s="218" t="str">
        <f>IF(HKI!$B16="","",HKI!D16)</f>
        <v>Bình</v>
      </c>
      <c r="E13" s="207">
        <f t="shared" si="0"/>
        <v>1</v>
      </c>
      <c r="F13" s="207">
        <f t="shared" si="1"/>
        <v>3</v>
      </c>
      <c r="G13" s="7" t="str">
        <f>IF(HKI!$I16&lt;4,"X","")</f>
        <v/>
      </c>
      <c r="H13" s="7" t="str">
        <f>IF(HKI!$M16&lt;4,"X","")</f>
        <v/>
      </c>
      <c r="I13" s="7" t="str">
        <f>IF(HKI!$Q16&lt;4,"X","")</f>
        <v/>
      </c>
      <c r="J13" s="7" t="str">
        <f>IF(HKI!$U16&lt;4,"X","")</f>
        <v/>
      </c>
      <c r="K13" s="7" t="str">
        <f>IF(HKI!$Y16&lt;4,"X","")</f>
        <v>X</v>
      </c>
      <c r="L13" s="7" t="str">
        <f>IF(HKI!$AC16&lt;4,"X","")</f>
        <v/>
      </c>
      <c r="M13" s="7" t="str">
        <f>IF(HKI!$AG16&lt;4,"X","")</f>
        <v/>
      </c>
      <c r="N13" s="7" t="str">
        <f>IF(HKI!$AK16&lt;4,"X","")</f>
        <v/>
      </c>
      <c r="O13" s="7" t="str">
        <f>IF(HKI!$AO16&lt;4,"X","")</f>
        <v/>
      </c>
      <c r="P13" s="7" t="str">
        <f>IF(HKI!$AS16&lt;4,"X","")</f>
        <v/>
      </c>
      <c r="Q13" s="7" t="str">
        <f>IF(HKI!$AW16&lt;4,"X","")</f>
        <v/>
      </c>
      <c r="R13" s="7" t="str">
        <f>IF(HKI!$BA16&lt;4,"X","")</f>
        <v/>
      </c>
      <c r="S13" s="106"/>
      <c r="T13" s="106"/>
      <c r="AW13" s="106"/>
      <c r="AX13" s="106"/>
      <c r="AY13" s="106"/>
      <c r="AZ13" s="106"/>
      <c r="BA13" s="106"/>
      <c r="BB13" s="106"/>
      <c r="BC13" s="106"/>
      <c r="BD13" s="106"/>
    </row>
    <row r="14" spans="1:56" ht="18" customHeight="1">
      <c r="A14" s="123">
        <f>IF(B14="","",SUBTOTAL(3,$B$8:B14))</f>
        <v>7</v>
      </c>
      <c r="B14" s="215" t="str">
        <f>IF(HKI!$B17="","",HKI!B17)</f>
        <v>13D301Đ016</v>
      </c>
      <c r="C14" s="216" t="str">
        <f>IF(HKI!$B17="","",HKI!C17)</f>
        <v>Vũ Văn</v>
      </c>
      <c r="D14" s="218" t="str">
        <f>IF(HKI!$B17="","",HKI!D17)</f>
        <v>Chiến</v>
      </c>
      <c r="E14" s="207">
        <f t="shared" si="0"/>
        <v>1</v>
      </c>
      <c r="F14" s="207">
        <f t="shared" si="1"/>
        <v>3</v>
      </c>
      <c r="G14" s="7" t="str">
        <f>IF(HKI!$I17&lt;4,"X","")</f>
        <v/>
      </c>
      <c r="H14" s="7" t="str">
        <f>IF(HKI!$M17&lt;4,"X","")</f>
        <v/>
      </c>
      <c r="I14" s="7" t="str">
        <f>IF(HKI!$Q17&lt;4,"X","")</f>
        <v/>
      </c>
      <c r="J14" s="7" t="str">
        <f>IF(HKI!$U17&lt;4,"X","")</f>
        <v/>
      </c>
      <c r="K14" s="7" t="str">
        <f>IF(HKI!$Y17&lt;4,"X","")</f>
        <v>X</v>
      </c>
      <c r="L14" s="7" t="str">
        <f>IF(HKI!$AC17&lt;4,"X","")</f>
        <v/>
      </c>
      <c r="M14" s="7" t="str">
        <f>IF(HKI!$AG17&lt;4,"X","")</f>
        <v/>
      </c>
      <c r="N14" s="7" t="str">
        <f>IF(HKI!$AK17&lt;4,"X","")</f>
        <v/>
      </c>
      <c r="O14" s="7" t="str">
        <f>IF(HKI!$AO17&lt;4,"X","")</f>
        <v/>
      </c>
      <c r="P14" s="7" t="str">
        <f>IF(HKI!$AS17&lt;4,"X","")</f>
        <v/>
      </c>
      <c r="Q14" s="7" t="str">
        <f>IF(HKI!$AW17&lt;4,"X","")</f>
        <v/>
      </c>
      <c r="R14" s="7" t="str">
        <f>IF(HKI!$BA17&lt;4,"X","")</f>
        <v/>
      </c>
      <c r="S14" s="106"/>
      <c r="T14" s="106"/>
      <c r="AW14" s="106"/>
      <c r="AX14" s="106"/>
      <c r="AY14" s="106"/>
      <c r="AZ14" s="106"/>
      <c r="BA14" s="106"/>
      <c r="BB14" s="106"/>
      <c r="BC14" s="106"/>
      <c r="BD14" s="106"/>
    </row>
    <row r="15" spans="1:56" ht="18" customHeight="1">
      <c r="A15" s="123">
        <f>IF(B15="","",SUBTOTAL(3,$B$8:B15))</f>
        <v>8</v>
      </c>
      <c r="B15" s="215" t="str">
        <f>IF(HKI!$B18="","",HKI!B18)</f>
        <v>13D301Đ017</v>
      </c>
      <c r="C15" s="216" t="str">
        <f>IF(HKI!$B18="","",HKI!C18)</f>
        <v>Trần Văn</v>
      </c>
      <c r="D15" s="218" t="str">
        <f>IF(HKI!$B18="","",HKI!D18)</f>
        <v>Chinh</v>
      </c>
      <c r="E15" s="207" t="str">
        <f t="shared" si="0"/>
        <v/>
      </c>
      <c r="F15" s="207" t="str">
        <f t="shared" si="1"/>
        <v/>
      </c>
      <c r="G15" s="7" t="str">
        <f>IF(HKI!$I18&lt;4,"X","")</f>
        <v/>
      </c>
      <c r="H15" s="7" t="str">
        <f>IF(HKI!$M18&lt;4,"X","")</f>
        <v/>
      </c>
      <c r="I15" s="7" t="str">
        <f>IF(HKI!$Q18&lt;4,"X","")</f>
        <v/>
      </c>
      <c r="J15" s="7" t="str">
        <f>IF(HKI!$U18&lt;4,"X","")</f>
        <v/>
      </c>
      <c r="K15" s="7" t="str">
        <f>IF(HKI!$Y18&lt;4,"X","")</f>
        <v/>
      </c>
      <c r="L15" s="7" t="str">
        <f>IF(HKI!$AC18&lt;4,"X","")</f>
        <v/>
      </c>
      <c r="M15" s="7" t="str">
        <f>IF(HKI!$AG18&lt;4,"X","")</f>
        <v/>
      </c>
      <c r="N15" s="7" t="str">
        <f>IF(HKI!$AK18&lt;4,"X","")</f>
        <v/>
      </c>
      <c r="O15" s="7" t="str">
        <f>IF(HKI!$AO18&lt;4,"X","")</f>
        <v/>
      </c>
      <c r="P15" s="7" t="str">
        <f>IF(HKI!$AS18&lt;4,"X","")</f>
        <v/>
      </c>
      <c r="Q15" s="7" t="str">
        <f>IF(HKI!$AW18&lt;4,"X","")</f>
        <v/>
      </c>
      <c r="R15" s="7" t="str">
        <f>IF(HKI!$BA18&lt;4,"X","")</f>
        <v/>
      </c>
      <c r="S15" s="106"/>
      <c r="T15" s="106"/>
      <c r="AW15" s="106"/>
      <c r="AX15" s="106"/>
      <c r="AY15" s="106"/>
      <c r="AZ15" s="106"/>
      <c r="BA15" s="106"/>
      <c r="BB15" s="106"/>
      <c r="BC15" s="106"/>
      <c r="BD15" s="106"/>
    </row>
    <row r="16" spans="1:56" ht="18" customHeight="1">
      <c r="A16" s="123">
        <f>IF(B16="","",SUBTOTAL(3,$B$8:B16))</f>
        <v>9</v>
      </c>
      <c r="B16" s="215" t="str">
        <f>IF(HKI!$B19="","",HKI!B19)</f>
        <v>13D301Đ193</v>
      </c>
      <c r="C16" s="216" t="str">
        <f>IF(HKI!$B19="","",HKI!C19)</f>
        <v>Phạm Công</v>
      </c>
      <c r="D16" s="218" t="str">
        <f>IF(HKI!$B19="","",HKI!D19)</f>
        <v>Chính</v>
      </c>
      <c r="E16" s="207">
        <f t="shared" si="0"/>
        <v>3</v>
      </c>
      <c r="F16" s="207">
        <f t="shared" si="1"/>
        <v>7</v>
      </c>
      <c r="G16" s="7" t="str">
        <f>IF(HKI!$I19&lt;4,"X","")</f>
        <v/>
      </c>
      <c r="H16" s="7" t="str">
        <f>IF(HKI!$M19&lt;4,"X","")</f>
        <v/>
      </c>
      <c r="I16" s="7" t="str">
        <f>IF(HKI!$Q19&lt;4,"X","")</f>
        <v>X</v>
      </c>
      <c r="J16" s="7" t="str">
        <f>IF(HKI!$U19&lt;4,"X","")</f>
        <v/>
      </c>
      <c r="K16" s="7" t="str">
        <f>IF(HKI!$Y19&lt;4,"X","")</f>
        <v>X</v>
      </c>
      <c r="L16" s="7" t="str">
        <f>IF(HKI!$AC19&lt;4,"X","")</f>
        <v/>
      </c>
      <c r="M16" s="7" t="str">
        <f>IF(HKI!$AG19&lt;4,"X","")</f>
        <v/>
      </c>
      <c r="N16" s="7" t="str">
        <f>IF(HKI!$AK19&lt;4,"X","")</f>
        <v/>
      </c>
      <c r="O16" s="7" t="str">
        <f>IF(HKI!$AO19&lt;4,"X","")</f>
        <v/>
      </c>
      <c r="P16" s="7" t="str">
        <f>IF(HKI!$AS19&lt;4,"X","")</f>
        <v/>
      </c>
      <c r="Q16" s="7" t="str">
        <f>IF(HKI!$AW19&lt;4,"X","")</f>
        <v>X</v>
      </c>
      <c r="R16" s="7" t="str">
        <f>IF(HKI!$BA19&lt;4,"X","")</f>
        <v/>
      </c>
      <c r="S16" s="106"/>
      <c r="T16" s="106"/>
      <c r="AW16" s="106"/>
      <c r="AX16" s="106"/>
      <c r="AY16" s="106"/>
      <c r="AZ16" s="106"/>
      <c r="BA16" s="106"/>
      <c r="BB16" s="106"/>
      <c r="BC16" s="106"/>
      <c r="BD16" s="106"/>
    </row>
    <row r="17" spans="1:56" ht="18" customHeight="1">
      <c r="A17" s="123">
        <f>IF(B17="","",SUBTOTAL(3,$B$8:B17))</f>
        <v>10</v>
      </c>
      <c r="B17" s="215" t="str">
        <f>IF(HKI!$B20="","",HKI!B20)</f>
        <v>13D301Đ020</v>
      </c>
      <c r="C17" s="216" t="str">
        <f>IF(HKI!$B20="","",HKI!C20)</f>
        <v>Trịnh Lê</v>
      </c>
      <c r="D17" s="218" t="str">
        <f>IF(HKI!$B20="","",HKI!D20)</f>
        <v>Cung</v>
      </c>
      <c r="E17" s="207">
        <f t="shared" si="0"/>
        <v>1</v>
      </c>
      <c r="F17" s="207">
        <f t="shared" si="1"/>
        <v>3</v>
      </c>
      <c r="G17" s="7" t="str">
        <f>IF(HKI!$I20&lt;4,"X","")</f>
        <v/>
      </c>
      <c r="H17" s="7" t="str">
        <f>IF(HKI!$M20&lt;4,"X","")</f>
        <v/>
      </c>
      <c r="I17" s="7" t="str">
        <f>IF(HKI!$Q20&lt;4,"X","")</f>
        <v/>
      </c>
      <c r="J17" s="7" t="str">
        <f>IF(HKI!$U20&lt;4,"X","")</f>
        <v/>
      </c>
      <c r="K17" s="7" t="str">
        <f>IF(HKI!$Y20&lt;4,"X","")</f>
        <v>X</v>
      </c>
      <c r="L17" s="7" t="str">
        <f>IF(HKI!$AC20&lt;4,"X","")</f>
        <v/>
      </c>
      <c r="M17" s="7" t="str">
        <f>IF(HKI!$AG20&lt;4,"X","")</f>
        <v/>
      </c>
      <c r="N17" s="7" t="str">
        <f>IF(HKI!$AK20&lt;4,"X","")</f>
        <v/>
      </c>
      <c r="O17" s="7" t="str">
        <f>IF(HKI!$AO20&lt;4,"X","")</f>
        <v/>
      </c>
      <c r="P17" s="7" t="str">
        <f>IF(HKI!$AS20&lt;4,"X","")</f>
        <v/>
      </c>
      <c r="Q17" s="7" t="str">
        <f>IF(HKI!$AW20&lt;4,"X","")</f>
        <v/>
      </c>
      <c r="R17" s="7" t="str">
        <f>IF(HKI!$BA20&lt;4,"X","")</f>
        <v/>
      </c>
      <c r="S17" s="106"/>
      <c r="T17" s="106"/>
      <c r="AW17" s="106"/>
      <c r="AX17" s="106"/>
      <c r="AY17" s="106"/>
      <c r="AZ17" s="106"/>
      <c r="BA17" s="106"/>
      <c r="BB17" s="106"/>
      <c r="BC17" s="106"/>
      <c r="BD17" s="106"/>
    </row>
    <row r="18" spans="1:56" ht="18" customHeight="1">
      <c r="A18" s="123">
        <f>IF(B18="","",SUBTOTAL(3,$B$8:B18))</f>
        <v>11</v>
      </c>
      <c r="B18" s="215" t="str">
        <f>IF(HKI!$B21="","",HKI!B21)</f>
        <v>13D301Đ021</v>
      </c>
      <c r="C18" s="216" t="str">
        <f>IF(HKI!$B21="","",HKI!C21)</f>
        <v>Nguyễn Chí</v>
      </c>
      <c r="D18" s="218" t="str">
        <f>IF(HKI!$B21="","",HKI!D21)</f>
        <v>Cường</v>
      </c>
      <c r="E18" s="207" t="str">
        <f t="shared" si="0"/>
        <v/>
      </c>
      <c r="F18" s="207" t="str">
        <f t="shared" si="1"/>
        <v/>
      </c>
      <c r="G18" s="7" t="str">
        <f>IF(HKI!$I21&lt;4,"X","")</f>
        <v/>
      </c>
      <c r="H18" s="7" t="str">
        <f>IF(HKI!$M21&lt;4,"X","")</f>
        <v/>
      </c>
      <c r="I18" s="7" t="str">
        <f>IF(HKI!$Q21&lt;4,"X","")</f>
        <v/>
      </c>
      <c r="J18" s="7" t="str">
        <f>IF(HKI!$U21&lt;4,"X","")</f>
        <v/>
      </c>
      <c r="K18" s="7" t="str">
        <f>IF(HKI!$Y21&lt;4,"X","")</f>
        <v/>
      </c>
      <c r="L18" s="7" t="str">
        <f>IF(HKI!$AC21&lt;4,"X","")</f>
        <v/>
      </c>
      <c r="M18" s="7" t="str">
        <f>IF(HKI!$AG21&lt;4,"X","")</f>
        <v/>
      </c>
      <c r="N18" s="7" t="str">
        <f>IF(HKI!$AK21&lt;4,"X","")</f>
        <v/>
      </c>
      <c r="O18" s="7" t="str">
        <f>IF(HKI!$AO21&lt;4,"X","")</f>
        <v/>
      </c>
      <c r="P18" s="7" t="str">
        <f>IF(HKI!$AS21&lt;4,"X","")</f>
        <v/>
      </c>
      <c r="Q18" s="7" t="str">
        <f>IF(HKI!$AW21&lt;4,"X","")</f>
        <v/>
      </c>
      <c r="R18" s="7" t="str">
        <f>IF(HKI!$BA21&lt;4,"X","")</f>
        <v/>
      </c>
      <c r="S18" s="106"/>
      <c r="T18" s="106"/>
      <c r="AW18" s="106"/>
      <c r="AX18" s="106"/>
      <c r="AY18" s="106"/>
      <c r="AZ18" s="106"/>
      <c r="BA18" s="106"/>
      <c r="BB18" s="106"/>
      <c r="BC18" s="106"/>
      <c r="BD18" s="106"/>
    </row>
    <row r="19" spans="1:56" ht="18" customHeight="1">
      <c r="A19" s="123">
        <f>IF(B19="","",SUBTOTAL(3,$B$8:B19))</f>
        <v>12</v>
      </c>
      <c r="B19" s="215" t="str">
        <f>IF(HKI!$B22="","",HKI!B22)</f>
        <v>13D301Đ033</v>
      </c>
      <c r="C19" s="216" t="str">
        <f>IF(HKI!$B22="","",HKI!C22)</f>
        <v xml:space="preserve">Trương Văn </v>
      </c>
      <c r="D19" s="218" t="str">
        <f>IF(HKI!$B22="","",HKI!D22)</f>
        <v>Đạt</v>
      </c>
      <c r="E19" s="207" t="str">
        <f t="shared" si="0"/>
        <v/>
      </c>
      <c r="F19" s="207" t="str">
        <f t="shared" si="1"/>
        <v/>
      </c>
      <c r="G19" s="7" t="str">
        <f>IF(HKI!$I22&lt;4,"X","")</f>
        <v/>
      </c>
      <c r="H19" s="7" t="str">
        <f>IF(HKI!$M22&lt;4,"X","")</f>
        <v/>
      </c>
      <c r="I19" s="7" t="str">
        <f>IF(HKI!$Q22&lt;4,"X","")</f>
        <v/>
      </c>
      <c r="J19" s="7" t="str">
        <f>IF(HKI!$U22&lt;4,"X","")</f>
        <v/>
      </c>
      <c r="K19" s="7" t="str">
        <f>IF(HKI!$Y22&lt;4,"X","")</f>
        <v/>
      </c>
      <c r="L19" s="7" t="str">
        <f>IF(HKI!$AC22&lt;4,"X","")</f>
        <v/>
      </c>
      <c r="M19" s="7" t="str">
        <f>IF(HKI!$AG22&lt;4,"X","")</f>
        <v/>
      </c>
      <c r="N19" s="7" t="str">
        <f>IF(HKI!$AK22&lt;4,"X","")</f>
        <v/>
      </c>
      <c r="O19" s="7" t="str">
        <f>IF(HKI!$AO22&lt;4,"X","")</f>
        <v/>
      </c>
      <c r="P19" s="7" t="str">
        <f>IF(HKI!$AS22&lt;4,"X","")</f>
        <v/>
      </c>
      <c r="Q19" s="7" t="str">
        <f>IF(HKI!$AW22&lt;4,"X","")</f>
        <v/>
      </c>
      <c r="R19" s="7" t="str">
        <f>IF(HKI!$BA22&lt;4,"X","")</f>
        <v/>
      </c>
      <c r="S19" s="106"/>
      <c r="T19" s="106"/>
      <c r="AW19" s="106"/>
      <c r="AX19" s="106"/>
      <c r="AY19" s="106"/>
      <c r="AZ19" s="106"/>
      <c r="BA19" s="106"/>
      <c r="BB19" s="106"/>
      <c r="BC19" s="106"/>
      <c r="BD19" s="106"/>
    </row>
    <row r="20" spans="1:56" ht="18" customHeight="1">
      <c r="A20" s="123">
        <f>IF(B20="","",SUBTOTAL(3,$B$8:B20))</f>
        <v>13</v>
      </c>
      <c r="B20" s="215" t="str">
        <f>IF(HKI!$B23="","",HKI!B23)</f>
        <v>13D301Đ037</v>
      </c>
      <c r="C20" s="216" t="str">
        <f>IF(HKI!$B23="","",HKI!C23)</f>
        <v>Nguyễn Thành</v>
      </c>
      <c r="D20" s="218" t="str">
        <f>IF(HKI!$B23="","",HKI!D23)</f>
        <v>Đông</v>
      </c>
      <c r="E20" s="207" t="str">
        <f t="shared" si="0"/>
        <v/>
      </c>
      <c r="F20" s="207" t="str">
        <f t="shared" si="1"/>
        <v/>
      </c>
      <c r="G20" s="7" t="str">
        <f>IF(HKI!$I23&lt;4,"X","")</f>
        <v/>
      </c>
      <c r="H20" s="7" t="str">
        <f>IF(HKI!$M23&lt;4,"X","")</f>
        <v/>
      </c>
      <c r="I20" s="7" t="str">
        <f>IF(HKI!$Q23&lt;4,"X","")</f>
        <v/>
      </c>
      <c r="J20" s="7" t="str">
        <f>IF(HKI!$U23&lt;4,"X","")</f>
        <v/>
      </c>
      <c r="K20" s="7" t="str">
        <f>IF(HKI!$Y23&lt;4,"X","")</f>
        <v/>
      </c>
      <c r="L20" s="7" t="str">
        <f>IF(HKI!$AC23&lt;4,"X","")</f>
        <v/>
      </c>
      <c r="M20" s="7" t="str">
        <f>IF(HKI!$AG23&lt;4,"X","")</f>
        <v/>
      </c>
      <c r="N20" s="7" t="str">
        <f>IF(HKI!$AK23&lt;4,"X","")</f>
        <v/>
      </c>
      <c r="O20" s="7" t="str">
        <f>IF(HKI!$AO23&lt;4,"X","")</f>
        <v/>
      </c>
      <c r="P20" s="7" t="str">
        <f>IF(HKI!$AS23&lt;4,"X","")</f>
        <v/>
      </c>
      <c r="Q20" s="7" t="str">
        <f>IF(HKI!$AW23&lt;4,"X","")</f>
        <v/>
      </c>
      <c r="R20" s="7" t="str">
        <f>IF(HKI!$BA23&lt;4,"X","")</f>
        <v/>
      </c>
      <c r="S20" s="106"/>
      <c r="T20" s="106"/>
      <c r="AW20" s="106"/>
      <c r="AX20" s="106"/>
      <c r="AY20" s="106"/>
      <c r="AZ20" s="106"/>
      <c r="BA20" s="106"/>
      <c r="BB20" s="106"/>
      <c r="BC20" s="106"/>
      <c r="BD20" s="106"/>
    </row>
    <row r="21" spans="1:56" ht="18" customHeight="1">
      <c r="A21" s="123">
        <f>IF(B21="","",SUBTOTAL(3,$B$8:B21))</f>
        <v>14</v>
      </c>
      <c r="B21" s="215" t="str">
        <f>IF(HKI!$B24="","",HKI!B24)</f>
        <v>13D301Đ024</v>
      </c>
      <c r="C21" s="216" t="str">
        <f>IF(HKI!$B24="","",HKI!C24)</f>
        <v xml:space="preserve">Trương Công </v>
      </c>
      <c r="D21" s="218" t="str">
        <f>IF(HKI!$B24="","",HKI!D24)</f>
        <v>Duẩn</v>
      </c>
      <c r="E21" s="207" t="str">
        <f t="shared" si="0"/>
        <v/>
      </c>
      <c r="F21" s="207" t="str">
        <f t="shared" si="1"/>
        <v/>
      </c>
      <c r="G21" s="7" t="str">
        <f>IF(HKI!$I24&lt;4,"X","")</f>
        <v/>
      </c>
      <c r="H21" s="7" t="str">
        <f>IF(HKI!$M24&lt;4,"X","")</f>
        <v/>
      </c>
      <c r="I21" s="7" t="str">
        <f>IF(HKI!$Q24&lt;4,"X","")</f>
        <v/>
      </c>
      <c r="J21" s="7" t="str">
        <f>IF(HKI!$U24&lt;4,"X","")</f>
        <v/>
      </c>
      <c r="K21" s="7" t="str">
        <f>IF(HKI!$Y24&lt;4,"X","")</f>
        <v/>
      </c>
      <c r="L21" s="7" t="str">
        <f>IF(HKI!$AC24&lt;4,"X","")</f>
        <v/>
      </c>
      <c r="M21" s="7" t="str">
        <f>IF(HKI!$AG24&lt;4,"X","")</f>
        <v/>
      </c>
      <c r="N21" s="7" t="str">
        <f>IF(HKI!$AK24&lt;4,"X","")</f>
        <v/>
      </c>
      <c r="O21" s="7" t="str">
        <f>IF(HKI!$AO24&lt;4,"X","")</f>
        <v/>
      </c>
      <c r="P21" s="7" t="str">
        <f>IF(HKI!$AS24&lt;4,"X","")</f>
        <v/>
      </c>
      <c r="Q21" s="7" t="str">
        <f>IF(HKI!$AW24&lt;4,"X","")</f>
        <v/>
      </c>
      <c r="R21" s="7" t="str">
        <f>IF(HKI!$BA24&lt;4,"X","")</f>
        <v/>
      </c>
      <c r="S21" s="106"/>
      <c r="T21" s="106"/>
      <c r="AW21" s="106"/>
      <c r="AX21" s="106"/>
      <c r="AY21" s="106"/>
      <c r="AZ21" s="106"/>
      <c r="BA21" s="106"/>
      <c r="BB21" s="106"/>
      <c r="BC21" s="106"/>
      <c r="BD21" s="106"/>
    </row>
    <row r="22" spans="1:56" ht="18" customHeight="1">
      <c r="A22" s="123">
        <f>IF(B22="","",SUBTOTAL(3,$B$8:B22))</f>
        <v>15</v>
      </c>
      <c r="B22" s="215" t="str">
        <f>IF(HKI!$B25="","",HKI!B25)</f>
        <v>13D301Đ191</v>
      </c>
      <c r="C22" s="216" t="str">
        <f>IF(HKI!$B25="","",HKI!C25)</f>
        <v>Nguyễn Hiền</v>
      </c>
      <c r="D22" s="218" t="str">
        <f>IF(HKI!$B25="","",HKI!D25)</f>
        <v>Đức</v>
      </c>
      <c r="E22" s="207" t="str">
        <f t="shared" si="0"/>
        <v/>
      </c>
      <c r="F22" s="207" t="str">
        <f t="shared" si="1"/>
        <v/>
      </c>
      <c r="G22" s="7" t="str">
        <f>IF(HKI!$I25&lt;4,"X","")</f>
        <v/>
      </c>
      <c r="H22" s="7" t="str">
        <f>IF(HKI!$M25&lt;4,"X","")</f>
        <v/>
      </c>
      <c r="I22" s="7" t="str">
        <f>IF(HKI!$Q25&lt;4,"X","")</f>
        <v/>
      </c>
      <c r="J22" s="7" t="str">
        <f>IF(HKI!$U25&lt;4,"X","")</f>
        <v/>
      </c>
      <c r="K22" s="7" t="str">
        <f>IF(HKI!$Y25&lt;4,"X","")</f>
        <v/>
      </c>
      <c r="L22" s="7" t="str">
        <f>IF(HKI!$AC25&lt;4,"X","")</f>
        <v/>
      </c>
      <c r="M22" s="7" t="str">
        <f>IF(HKI!$AG25&lt;4,"X","")</f>
        <v/>
      </c>
      <c r="N22" s="7" t="str">
        <f>IF(HKI!$AK25&lt;4,"X","")</f>
        <v/>
      </c>
      <c r="O22" s="7" t="str">
        <f>IF(HKI!$AO25&lt;4,"X","")</f>
        <v/>
      </c>
      <c r="P22" s="7" t="str">
        <f>IF(HKI!$AS25&lt;4,"X","")</f>
        <v/>
      </c>
      <c r="Q22" s="7" t="str">
        <f>IF(HKI!$AW25&lt;4,"X","")</f>
        <v/>
      </c>
      <c r="R22" s="7" t="str">
        <f>IF(HKI!$BA25&lt;4,"X","")</f>
        <v/>
      </c>
      <c r="S22" s="106"/>
      <c r="T22" s="106"/>
      <c r="AW22" s="106"/>
      <c r="AX22" s="106"/>
      <c r="AY22" s="106"/>
      <c r="AZ22" s="106"/>
      <c r="BA22" s="106"/>
      <c r="BB22" s="106"/>
      <c r="BC22" s="106"/>
      <c r="BD22" s="106"/>
    </row>
    <row r="23" spans="1:56" ht="18" customHeight="1">
      <c r="A23" s="123">
        <f>IF(B23="","",SUBTOTAL(3,$B$8:B23))</f>
        <v>16</v>
      </c>
      <c r="B23" s="215" t="str">
        <f>IF(HKI!$B26="","",HKI!B26)</f>
        <v>13D301Đ040</v>
      </c>
      <c r="C23" s="216" t="str">
        <f>IF(HKI!$B26="","",HKI!C26)</f>
        <v>Nguyễn Văn</v>
      </c>
      <c r="D23" s="218" t="str">
        <f>IF(HKI!$B26="","",HKI!D26)</f>
        <v>Đức</v>
      </c>
      <c r="E23" s="207" t="str">
        <f t="shared" si="0"/>
        <v/>
      </c>
      <c r="F23" s="207" t="str">
        <f t="shared" si="1"/>
        <v/>
      </c>
      <c r="G23" s="7" t="str">
        <f>IF(HKI!$I26&lt;4,"X","")</f>
        <v/>
      </c>
      <c r="H23" s="7" t="str">
        <f>IF(HKI!$M26&lt;4,"X","")</f>
        <v/>
      </c>
      <c r="I23" s="7" t="str">
        <f>IF(HKI!$Q26&lt;4,"X","")</f>
        <v/>
      </c>
      <c r="J23" s="7" t="str">
        <f>IF(HKI!$U26&lt;4,"X","")</f>
        <v/>
      </c>
      <c r="K23" s="7" t="str">
        <f>IF(HKI!$Y26&lt;4,"X","")</f>
        <v/>
      </c>
      <c r="L23" s="7" t="str">
        <f>IF(HKI!$AC26&lt;4,"X","")</f>
        <v/>
      </c>
      <c r="M23" s="7" t="str">
        <f>IF(HKI!$AG26&lt;4,"X","")</f>
        <v/>
      </c>
      <c r="N23" s="7" t="str">
        <f>IF(HKI!$AK26&lt;4,"X","")</f>
        <v/>
      </c>
      <c r="O23" s="7" t="str">
        <f>IF(HKI!$AO26&lt;4,"X","")</f>
        <v/>
      </c>
      <c r="P23" s="7" t="str">
        <f>IF(HKI!$AS26&lt;4,"X","")</f>
        <v/>
      </c>
      <c r="Q23" s="7" t="str">
        <f>IF(HKI!$AW26&lt;4,"X","")</f>
        <v/>
      </c>
      <c r="R23" s="7" t="str">
        <f>IF(HKI!$BA26&lt;4,"X","")</f>
        <v/>
      </c>
      <c r="S23" s="106"/>
      <c r="T23" s="106"/>
      <c r="AW23" s="106"/>
      <c r="AX23" s="106"/>
      <c r="AY23" s="106"/>
      <c r="AZ23" s="106"/>
      <c r="BA23" s="106"/>
      <c r="BB23" s="106"/>
      <c r="BC23" s="106"/>
      <c r="BD23" s="106"/>
    </row>
    <row r="24" spans="1:56" ht="18" customHeight="1">
      <c r="A24" s="123">
        <f>IF(B24="","",SUBTOTAL(3,$B$8:B24))</f>
        <v>17</v>
      </c>
      <c r="B24" s="215" t="str">
        <f>IF(HKI!$B27="","",HKI!B27)</f>
        <v>13D301Đ025</v>
      </c>
      <c r="C24" s="216" t="str">
        <f>IF(HKI!$B27="","",HKI!C27)</f>
        <v>Nguyễn Ngọc</v>
      </c>
      <c r="D24" s="218" t="str">
        <f>IF(HKI!$B27="","",HKI!D27)</f>
        <v>Dũng</v>
      </c>
      <c r="E24" s="207">
        <f t="shared" si="0"/>
        <v>2</v>
      </c>
      <c r="F24" s="207">
        <f t="shared" si="1"/>
        <v>5</v>
      </c>
      <c r="G24" s="7" t="str">
        <f>IF(HKI!$I27&lt;4,"X","")</f>
        <v/>
      </c>
      <c r="H24" s="7" t="str">
        <f>IF(HKI!$M27&lt;4,"X","")</f>
        <v/>
      </c>
      <c r="I24" s="7" t="str">
        <f>IF(HKI!$Q27&lt;4,"X","")</f>
        <v/>
      </c>
      <c r="J24" s="7" t="str">
        <f>IF(HKI!$U27&lt;4,"X","")</f>
        <v/>
      </c>
      <c r="K24" s="7" t="str">
        <f>IF(HKI!$Y27&lt;4,"X","")</f>
        <v>X</v>
      </c>
      <c r="L24" s="7" t="str">
        <f>IF(HKI!$AC27&lt;4,"X","")</f>
        <v/>
      </c>
      <c r="M24" s="7" t="str">
        <f>IF(HKI!$AG27&lt;4,"X","")</f>
        <v/>
      </c>
      <c r="N24" s="7" t="str">
        <f>IF(HKI!$AK27&lt;4,"X","")</f>
        <v/>
      </c>
      <c r="O24" s="7" t="str">
        <f>IF(HKI!$AO27&lt;4,"X","")</f>
        <v/>
      </c>
      <c r="P24" s="7" t="str">
        <f>IF(HKI!$AS27&lt;4,"X","")</f>
        <v/>
      </c>
      <c r="Q24" s="7" t="str">
        <f>IF(HKI!$AW27&lt;4,"X","")</f>
        <v>X</v>
      </c>
      <c r="R24" s="7" t="str">
        <f>IF(HKI!$BA27&lt;4,"X","")</f>
        <v/>
      </c>
      <c r="S24" s="106"/>
      <c r="T24" s="106"/>
      <c r="AW24" s="106"/>
      <c r="AX24" s="106"/>
      <c r="AY24" s="106"/>
      <c r="AZ24" s="106"/>
      <c r="BA24" s="106"/>
      <c r="BB24" s="106"/>
      <c r="BC24" s="106"/>
      <c r="BD24" s="106"/>
    </row>
    <row r="25" spans="1:56" ht="18" customHeight="1">
      <c r="A25" s="123">
        <f>IF(B25="","",SUBTOTAL(3,$B$8:B25))</f>
        <v>18</v>
      </c>
      <c r="B25" s="215" t="str">
        <f>IF(HKI!$B28="","",HKI!B28)</f>
        <v>13D301Đ192</v>
      </c>
      <c r="C25" s="216" t="str">
        <f>IF(HKI!$B28="","",HKI!C28)</f>
        <v>Cao Trùng</v>
      </c>
      <c r="D25" s="218" t="str">
        <f>IF(HKI!$B28="","",HKI!D28)</f>
        <v>Dương</v>
      </c>
      <c r="E25" s="207" t="str">
        <f t="shared" si="0"/>
        <v/>
      </c>
      <c r="F25" s="207" t="str">
        <f t="shared" si="1"/>
        <v/>
      </c>
      <c r="G25" s="7" t="str">
        <f>IF(HKI!$I28&lt;4,"X","")</f>
        <v/>
      </c>
      <c r="H25" s="7" t="str">
        <f>IF(HKI!$M28&lt;4,"X","")</f>
        <v/>
      </c>
      <c r="I25" s="7" t="str">
        <f>IF(HKI!$Q28&lt;4,"X","")</f>
        <v/>
      </c>
      <c r="J25" s="7" t="str">
        <f>IF(HKI!$U28&lt;4,"X","")</f>
        <v/>
      </c>
      <c r="K25" s="7" t="str">
        <f>IF(HKI!$Y28&lt;4,"X","")</f>
        <v/>
      </c>
      <c r="L25" s="7" t="str">
        <f>IF(HKI!$AC28&lt;4,"X","")</f>
        <v/>
      </c>
      <c r="M25" s="7" t="str">
        <f>IF(HKI!$AG28&lt;4,"X","")</f>
        <v/>
      </c>
      <c r="N25" s="7" t="str">
        <f>IF(HKI!$AK28&lt;4,"X","")</f>
        <v/>
      </c>
      <c r="O25" s="7" t="str">
        <f>IF(HKI!$AO28&lt;4,"X","")</f>
        <v/>
      </c>
      <c r="P25" s="7" t="str">
        <f>IF(HKI!$AS28&lt;4,"X","")</f>
        <v/>
      </c>
      <c r="Q25" s="7" t="str">
        <f>IF(HKI!$AW28&lt;4,"X","")</f>
        <v/>
      </c>
      <c r="R25" s="7" t="str">
        <f>IF(HKI!$BA28&lt;4,"X","")</f>
        <v/>
      </c>
      <c r="S25" s="106"/>
      <c r="T25" s="106"/>
      <c r="AW25" s="106"/>
      <c r="AX25" s="106"/>
      <c r="AY25" s="106"/>
      <c r="AZ25" s="106"/>
      <c r="BA25" s="106"/>
      <c r="BB25" s="106"/>
      <c r="BC25" s="106"/>
      <c r="BD25" s="106"/>
    </row>
    <row r="26" spans="1:56" ht="18" customHeight="1">
      <c r="A26" s="123">
        <f>IF(B26="","",SUBTOTAL(3,$B$8:B26))</f>
        <v>19</v>
      </c>
      <c r="B26" s="215" t="str">
        <f>IF(HKI!$B29="","",HKI!B29)</f>
        <v>13D301Đ028</v>
      </c>
      <c r="C26" s="216" t="str">
        <f>IF(HKI!$B29="","",HKI!C29)</f>
        <v>Hoàng Văn</v>
      </c>
      <c r="D26" s="218" t="str">
        <f>IF(HKI!$B29="","",HKI!D29)</f>
        <v>Duy</v>
      </c>
      <c r="E26" s="207">
        <f t="shared" si="0"/>
        <v>1</v>
      </c>
      <c r="F26" s="207">
        <f t="shared" si="1"/>
        <v>2</v>
      </c>
      <c r="G26" s="7" t="str">
        <f>IF(HKI!$I29&lt;4,"X","")</f>
        <v/>
      </c>
      <c r="H26" s="7" t="str">
        <f>IF(HKI!$M29&lt;4,"X","")</f>
        <v/>
      </c>
      <c r="I26" s="7" t="str">
        <f>IF(HKI!$Q29&lt;4,"X","")</f>
        <v/>
      </c>
      <c r="J26" s="7" t="str">
        <f>IF(HKI!$U29&lt;4,"X","")</f>
        <v/>
      </c>
      <c r="K26" s="7" t="str">
        <f>IF(HKI!$Y29&lt;4,"X","")</f>
        <v/>
      </c>
      <c r="L26" s="7" t="str">
        <f>IF(HKI!$AC29&lt;4,"X","")</f>
        <v/>
      </c>
      <c r="M26" s="7" t="str">
        <f>IF(HKI!$AG29&lt;4,"X","")</f>
        <v/>
      </c>
      <c r="N26" s="7" t="str">
        <f>IF(HKI!$AK29&lt;4,"X","")</f>
        <v/>
      </c>
      <c r="O26" s="7" t="str">
        <f>IF(HKI!$AO29&lt;4,"X","")</f>
        <v/>
      </c>
      <c r="P26" s="7" t="str">
        <f>IF(HKI!$AS29&lt;4,"X","")</f>
        <v/>
      </c>
      <c r="Q26" s="7" t="str">
        <f>IF(HKI!$AW29&lt;4,"X","")</f>
        <v>X</v>
      </c>
      <c r="R26" s="7" t="str">
        <f>IF(HKI!$BA29&lt;4,"X","")</f>
        <v/>
      </c>
      <c r="S26" s="106"/>
      <c r="T26" s="106"/>
      <c r="AW26" s="106"/>
      <c r="AX26" s="106"/>
      <c r="AY26" s="106"/>
      <c r="AZ26" s="106"/>
      <c r="BA26" s="106"/>
      <c r="BB26" s="106"/>
      <c r="BC26" s="106"/>
      <c r="BD26" s="106"/>
    </row>
    <row r="27" spans="1:56" ht="18" customHeight="1">
      <c r="A27" s="123">
        <f>IF(B27="","",SUBTOTAL(3,$B$8:B27))</f>
        <v>20</v>
      </c>
      <c r="B27" s="215" t="str">
        <f>IF(HKI!$B30="","",HKI!B30)</f>
        <v>13D301Đ181</v>
      </c>
      <c r="C27" s="216" t="str">
        <f>IF(HKI!$B30="","",HKI!C30)</f>
        <v>Lâm Văn</v>
      </c>
      <c r="D27" s="218" t="str">
        <f>IF(HKI!$B30="","",HKI!D30)</f>
        <v>Duy</v>
      </c>
      <c r="E27" s="207">
        <f t="shared" si="0"/>
        <v>1</v>
      </c>
      <c r="F27" s="207">
        <f t="shared" si="1"/>
        <v>3</v>
      </c>
      <c r="G27" s="7" t="str">
        <f>IF(HKI!$I30&lt;4,"X","")</f>
        <v/>
      </c>
      <c r="H27" s="7" t="str">
        <f>IF(HKI!$M30&lt;4,"X","")</f>
        <v/>
      </c>
      <c r="I27" s="7" t="str">
        <f>IF(HKI!$Q30&lt;4,"X","")</f>
        <v/>
      </c>
      <c r="J27" s="7" t="str">
        <f>IF(HKI!$U30&lt;4,"X","")</f>
        <v/>
      </c>
      <c r="K27" s="7" t="str">
        <f>IF(HKI!$Y30&lt;4,"X","")</f>
        <v>X</v>
      </c>
      <c r="L27" s="7" t="str">
        <f>IF(HKI!$AC30&lt;4,"X","")</f>
        <v/>
      </c>
      <c r="M27" s="7" t="str">
        <f>IF(HKI!$AG30&lt;4,"X","")</f>
        <v/>
      </c>
      <c r="N27" s="7" t="str">
        <f>IF(HKI!$AK30&lt;4,"X","")</f>
        <v/>
      </c>
      <c r="O27" s="7" t="str">
        <f>IF(HKI!$AO30&lt;4,"X","")</f>
        <v/>
      </c>
      <c r="P27" s="7" t="str">
        <f>IF(HKI!$AS30&lt;4,"X","")</f>
        <v/>
      </c>
      <c r="Q27" s="7" t="str">
        <f>IF(HKI!$AW30&lt;4,"X","")</f>
        <v/>
      </c>
      <c r="R27" s="7" t="str">
        <f>IF(HKI!$BA30&lt;4,"X","")</f>
        <v/>
      </c>
      <c r="S27" s="106"/>
      <c r="T27" s="106"/>
      <c r="AW27" s="106"/>
      <c r="AX27" s="106"/>
      <c r="AY27" s="106"/>
      <c r="AZ27" s="106"/>
      <c r="BA27" s="106"/>
      <c r="BB27" s="106"/>
      <c r="BC27" s="106"/>
      <c r="BD27" s="106"/>
    </row>
    <row r="28" spans="1:56" ht="18" customHeight="1">
      <c r="A28" s="123">
        <f>IF(B28="","",SUBTOTAL(3,$B$8:B28))</f>
        <v>21</v>
      </c>
      <c r="B28" s="215" t="str">
        <f>IF(HKI!$B31="","",HKI!B31)</f>
        <v>13D301Đ041</v>
      </c>
      <c r="C28" s="216" t="str">
        <f>IF(HKI!$B31="","",HKI!C31)</f>
        <v>Lê Hoàng</v>
      </c>
      <c r="D28" s="218" t="str">
        <f>IF(HKI!$B31="","",HKI!D31)</f>
        <v>Giang</v>
      </c>
      <c r="E28" s="207">
        <f t="shared" si="0"/>
        <v>1</v>
      </c>
      <c r="F28" s="207">
        <f t="shared" si="1"/>
        <v>3</v>
      </c>
      <c r="G28" s="7" t="str">
        <f>IF(HKI!$I31&lt;4,"X","")</f>
        <v/>
      </c>
      <c r="H28" s="7" t="str">
        <f>IF(HKI!$M31&lt;4,"X","")</f>
        <v/>
      </c>
      <c r="I28" s="7" t="str">
        <f>IF(HKI!$Q31&lt;4,"X","")</f>
        <v/>
      </c>
      <c r="J28" s="7" t="str">
        <f>IF(HKI!$U31&lt;4,"X","")</f>
        <v/>
      </c>
      <c r="K28" s="7" t="str">
        <f>IF(HKI!$Y31&lt;4,"X","")</f>
        <v>X</v>
      </c>
      <c r="L28" s="7" t="str">
        <f>IF(HKI!$AC31&lt;4,"X","")</f>
        <v/>
      </c>
      <c r="M28" s="7" t="str">
        <f>IF(HKI!$AG31&lt;4,"X","")</f>
        <v/>
      </c>
      <c r="N28" s="7" t="str">
        <f>IF(HKI!$AK31&lt;4,"X","")</f>
        <v/>
      </c>
      <c r="O28" s="7" t="str">
        <f>IF(HKI!$AO31&lt;4,"X","")</f>
        <v/>
      </c>
      <c r="P28" s="7" t="str">
        <f>IF(HKI!$AS31&lt;4,"X","")</f>
        <v/>
      </c>
      <c r="Q28" s="7" t="str">
        <f>IF(HKI!$AW31&lt;4,"X","")</f>
        <v/>
      </c>
      <c r="R28" s="7" t="str">
        <f>IF(HKI!$BA31&lt;4,"X","")</f>
        <v/>
      </c>
      <c r="S28" s="106"/>
      <c r="T28" s="106"/>
      <c r="AW28" s="106"/>
      <c r="AX28" s="106"/>
      <c r="AY28" s="106"/>
      <c r="AZ28" s="106"/>
      <c r="BA28" s="106"/>
      <c r="BB28" s="106"/>
      <c r="BC28" s="106"/>
      <c r="BD28" s="106"/>
    </row>
    <row r="29" spans="1:56" ht="18" customHeight="1">
      <c r="A29" s="123">
        <f>IF(B29="","",SUBTOTAL(3,$B$8:B29))</f>
        <v>22</v>
      </c>
      <c r="B29" s="215" t="str">
        <f>IF(HKI!$B32="","",HKI!B32)</f>
        <v>13D301Đ045</v>
      </c>
      <c r="C29" s="216" t="str">
        <f>IF(HKI!$B32="","",HKI!C32)</f>
        <v>Lê Công</v>
      </c>
      <c r="D29" s="218" t="str">
        <f>IF(HKI!$B32="","",HKI!D32)</f>
        <v>Hậu</v>
      </c>
      <c r="E29" s="207" t="str">
        <f t="shared" si="0"/>
        <v/>
      </c>
      <c r="F29" s="207" t="str">
        <f t="shared" si="1"/>
        <v/>
      </c>
      <c r="G29" s="7" t="str">
        <f>IF(HKI!$I32&lt;4,"X","")</f>
        <v/>
      </c>
      <c r="H29" s="7" t="str">
        <f>IF(HKI!$M32&lt;4,"X","")</f>
        <v/>
      </c>
      <c r="I29" s="7" t="str">
        <f>IF(HKI!$Q32&lt;4,"X","")</f>
        <v/>
      </c>
      <c r="J29" s="7" t="str">
        <f>IF(HKI!$U32&lt;4,"X","")</f>
        <v/>
      </c>
      <c r="K29" s="7" t="str">
        <f>IF(HKI!$Y32&lt;4,"X","")</f>
        <v/>
      </c>
      <c r="L29" s="7" t="str">
        <f>IF(HKI!$AC32&lt;4,"X","")</f>
        <v/>
      </c>
      <c r="M29" s="7" t="str">
        <f>IF(HKI!$AG32&lt;4,"X","")</f>
        <v/>
      </c>
      <c r="N29" s="7" t="str">
        <f>IF(HKI!$AK32&lt;4,"X","")</f>
        <v/>
      </c>
      <c r="O29" s="7" t="str">
        <f>IF(HKI!$AO32&lt;4,"X","")</f>
        <v/>
      </c>
      <c r="P29" s="7" t="str">
        <f>IF(HKI!$AS32&lt;4,"X","")</f>
        <v/>
      </c>
      <c r="Q29" s="7" t="str">
        <f>IF(HKI!$AW32&lt;4,"X","")</f>
        <v/>
      </c>
      <c r="R29" s="7" t="str">
        <f>IF(HKI!$BA32&lt;4,"X","")</f>
        <v/>
      </c>
      <c r="S29" s="106"/>
      <c r="T29" s="106"/>
      <c r="AW29" s="106"/>
      <c r="AX29" s="106"/>
      <c r="AY29" s="106"/>
      <c r="AZ29" s="106"/>
      <c r="BA29" s="106"/>
      <c r="BB29" s="106"/>
      <c r="BC29" s="106"/>
      <c r="BD29" s="106"/>
    </row>
    <row r="30" spans="1:56" ht="18" customHeight="1">
      <c r="A30" s="123">
        <f>IF(B30="","",SUBTOTAL(3,$B$8:B30))</f>
        <v>23</v>
      </c>
      <c r="B30" s="215" t="str">
        <f>IF(HKI!$B33="","",HKI!B33)</f>
        <v>13D301Đ048</v>
      </c>
      <c r="C30" s="216" t="str">
        <f>IF(HKI!$B33="","",HKI!C33)</f>
        <v>Hồ Văn</v>
      </c>
      <c r="D30" s="218" t="str">
        <f>IF(HKI!$B33="","",HKI!D33)</f>
        <v>Hiệp</v>
      </c>
      <c r="E30" s="207" t="str">
        <f t="shared" si="0"/>
        <v/>
      </c>
      <c r="F30" s="207" t="str">
        <f t="shared" si="1"/>
        <v/>
      </c>
      <c r="G30" s="7" t="str">
        <f>IF(HKI!$I33&lt;4,"X","")</f>
        <v/>
      </c>
      <c r="H30" s="7" t="str">
        <f>IF(HKI!$M33&lt;4,"X","")</f>
        <v/>
      </c>
      <c r="I30" s="7" t="str">
        <f>IF(HKI!$Q33&lt;4,"X","")</f>
        <v/>
      </c>
      <c r="J30" s="7" t="str">
        <f>IF(HKI!$U33&lt;4,"X","")</f>
        <v/>
      </c>
      <c r="K30" s="7" t="str">
        <f>IF(HKI!$Y33&lt;4,"X","")</f>
        <v/>
      </c>
      <c r="L30" s="7" t="str">
        <f>IF(HKI!$AC33&lt;4,"X","")</f>
        <v/>
      </c>
      <c r="M30" s="7" t="str">
        <f>IF(HKI!$AG33&lt;4,"X","")</f>
        <v/>
      </c>
      <c r="N30" s="7" t="str">
        <f>IF(HKI!$AK33&lt;4,"X","")</f>
        <v/>
      </c>
      <c r="O30" s="7" t="str">
        <f>IF(HKI!$AO33&lt;4,"X","")</f>
        <v/>
      </c>
      <c r="P30" s="7" t="str">
        <f>IF(HKI!$AS33&lt;4,"X","")</f>
        <v/>
      </c>
      <c r="Q30" s="7" t="str">
        <f>IF(HKI!$AW33&lt;4,"X","")</f>
        <v/>
      </c>
      <c r="R30" s="7" t="str">
        <f>IF(HKI!$BA33&lt;4,"X","")</f>
        <v/>
      </c>
      <c r="S30" s="106"/>
      <c r="T30" s="106"/>
      <c r="AW30" s="106"/>
      <c r="AX30" s="106"/>
      <c r="AY30" s="106"/>
      <c r="AZ30" s="106"/>
      <c r="BA30" s="106"/>
      <c r="BB30" s="106"/>
      <c r="BC30" s="106"/>
      <c r="BD30" s="106"/>
    </row>
    <row r="31" spans="1:56" ht="18" customHeight="1">
      <c r="A31" s="123">
        <f>IF(B31="","",SUBTOTAL(3,$B$8:B31))</f>
        <v>24</v>
      </c>
      <c r="B31" s="215" t="str">
        <f>IF(HKI!$B34="","",HKI!B34)</f>
        <v>13D301Đ049</v>
      </c>
      <c r="C31" s="216" t="str">
        <f>IF(HKI!$B34="","",HKI!C34)</f>
        <v>Lê Minh</v>
      </c>
      <c r="D31" s="218" t="str">
        <f>IF(HKI!$B34="","",HKI!D34)</f>
        <v>Hiếu</v>
      </c>
      <c r="E31" s="207">
        <f t="shared" si="0"/>
        <v>1</v>
      </c>
      <c r="F31" s="207">
        <f t="shared" si="1"/>
        <v>2</v>
      </c>
      <c r="G31" s="7" t="str">
        <f>IF(HKI!$I34&lt;4,"X","")</f>
        <v/>
      </c>
      <c r="H31" s="7" t="str">
        <f>IF(HKI!$M34&lt;4,"X","")</f>
        <v/>
      </c>
      <c r="I31" s="7" t="str">
        <f>IF(HKI!$Q34&lt;4,"X","")</f>
        <v>X</v>
      </c>
      <c r="J31" s="7" t="str">
        <f>IF(HKI!$U34&lt;4,"X","")</f>
        <v/>
      </c>
      <c r="K31" s="7" t="str">
        <f>IF(HKI!$Y34&lt;4,"X","")</f>
        <v/>
      </c>
      <c r="L31" s="7" t="str">
        <f>IF(HKI!$AC34&lt;4,"X","")</f>
        <v/>
      </c>
      <c r="M31" s="7" t="str">
        <f>IF(HKI!$AG34&lt;4,"X","")</f>
        <v/>
      </c>
      <c r="N31" s="7" t="str">
        <f>IF(HKI!$AK34&lt;4,"X","")</f>
        <v/>
      </c>
      <c r="O31" s="7" t="str">
        <f>IF(HKI!$AO34&lt;4,"X","")</f>
        <v/>
      </c>
      <c r="P31" s="7" t="str">
        <f>IF(HKI!$AS34&lt;4,"X","")</f>
        <v/>
      </c>
      <c r="Q31" s="7" t="str">
        <f>IF(HKI!$AW34&lt;4,"X","")</f>
        <v/>
      </c>
      <c r="R31" s="7" t="str">
        <f>IF(HKI!$BA34&lt;4,"X","")</f>
        <v/>
      </c>
      <c r="S31" s="106"/>
      <c r="T31" s="106"/>
      <c r="AW31" s="106"/>
      <c r="AX31" s="106"/>
      <c r="AY31" s="106"/>
      <c r="AZ31" s="106"/>
      <c r="BA31" s="106"/>
      <c r="BB31" s="106"/>
      <c r="BC31" s="106"/>
      <c r="BD31" s="106"/>
    </row>
    <row r="32" spans="1:56" ht="18" customHeight="1">
      <c r="A32" s="123">
        <f>IF(B32="","",SUBTOTAL(3,$B$8:B32))</f>
        <v>25</v>
      </c>
      <c r="B32" s="215" t="str">
        <f>IF(HKI!$B35="","",HKI!B35)</f>
        <v>13D301Đ053</v>
      </c>
      <c r="C32" s="216" t="str">
        <f>IF(HKI!$B35="","",HKI!C35)</f>
        <v>Nguyễn Ngọc</v>
      </c>
      <c r="D32" s="218" t="str">
        <f>IF(HKI!$B35="","",HKI!D35)</f>
        <v>Hoài</v>
      </c>
      <c r="E32" s="207" t="str">
        <f t="shared" si="0"/>
        <v/>
      </c>
      <c r="F32" s="207" t="str">
        <f t="shared" si="1"/>
        <v/>
      </c>
      <c r="G32" s="7" t="str">
        <f>IF(HKI!$I35&lt;4,"X","")</f>
        <v/>
      </c>
      <c r="H32" s="7" t="str">
        <f>IF(HKI!$M35&lt;4,"X","")</f>
        <v/>
      </c>
      <c r="I32" s="7" t="str">
        <f>IF(HKI!$Q35&lt;4,"X","")</f>
        <v/>
      </c>
      <c r="J32" s="7" t="str">
        <f>IF(HKI!$U35&lt;4,"X","")</f>
        <v/>
      </c>
      <c r="K32" s="7" t="str">
        <f>IF(HKI!$Y35&lt;4,"X","")</f>
        <v/>
      </c>
      <c r="L32" s="7" t="str">
        <f>IF(HKI!$AC35&lt;4,"X","")</f>
        <v/>
      </c>
      <c r="M32" s="7" t="str">
        <f>IF(HKI!$AG35&lt;4,"X","")</f>
        <v/>
      </c>
      <c r="N32" s="7" t="str">
        <f>IF(HKI!$AK35&lt;4,"X","")</f>
        <v/>
      </c>
      <c r="O32" s="7" t="str">
        <f>IF(HKI!$AO35&lt;4,"X","")</f>
        <v/>
      </c>
      <c r="P32" s="7" t="str">
        <f>IF(HKI!$AS35&lt;4,"X","")</f>
        <v/>
      </c>
      <c r="Q32" s="7" t="str">
        <f>IF(HKI!$AW35&lt;4,"X","")</f>
        <v/>
      </c>
      <c r="R32" s="7" t="str">
        <f>IF(HKI!$BA35&lt;4,"X","")</f>
        <v/>
      </c>
      <c r="S32" s="106"/>
      <c r="T32" s="106"/>
      <c r="AW32" s="106"/>
      <c r="AX32" s="106"/>
      <c r="AY32" s="106"/>
      <c r="AZ32" s="106"/>
      <c r="BA32" s="106"/>
      <c r="BB32" s="106"/>
      <c r="BC32" s="106"/>
      <c r="BD32" s="106"/>
    </row>
    <row r="33" spans="1:56" ht="18" customHeight="1">
      <c r="A33" s="123">
        <f>IF(B33="","",SUBTOTAL(3,$B$8:B33))</f>
        <v>26</v>
      </c>
      <c r="B33" s="215" t="str">
        <f>IF(HKI!$B36="","",HKI!B36)</f>
        <v>13D301Đ056</v>
      </c>
      <c r="C33" s="216" t="str">
        <f>IF(HKI!$B36="","",HKI!C36)</f>
        <v>Trần Huy</v>
      </c>
      <c r="D33" s="218" t="str">
        <f>IF(HKI!$B36="","",HKI!D36)</f>
        <v>Hoàng</v>
      </c>
      <c r="E33" s="207">
        <f t="shared" si="0"/>
        <v>1</v>
      </c>
      <c r="F33" s="207">
        <f t="shared" si="1"/>
        <v>3</v>
      </c>
      <c r="G33" s="7" t="str">
        <f>IF(HKI!$I36&lt;4,"X","")</f>
        <v/>
      </c>
      <c r="H33" s="7" t="str">
        <f>IF(HKI!$M36&lt;4,"X","")</f>
        <v/>
      </c>
      <c r="I33" s="7" t="str">
        <f>IF(HKI!$Q36&lt;4,"X","")</f>
        <v/>
      </c>
      <c r="J33" s="7" t="str">
        <f>IF(HKI!$U36&lt;4,"X","")</f>
        <v/>
      </c>
      <c r="K33" s="7" t="str">
        <f>IF(HKI!$Y36&lt;4,"X","")</f>
        <v>X</v>
      </c>
      <c r="L33" s="7" t="str">
        <f>IF(HKI!$AC36&lt;4,"X","")</f>
        <v/>
      </c>
      <c r="M33" s="7" t="str">
        <f>IF(HKI!$AG36&lt;4,"X","")</f>
        <v/>
      </c>
      <c r="N33" s="7" t="str">
        <f>IF(HKI!$AK36&lt;4,"X","")</f>
        <v/>
      </c>
      <c r="O33" s="7" t="str">
        <f>IF(HKI!$AO36&lt;4,"X","")</f>
        <v/>
      </c>
      <c r="P33" s="7" t="str">
        <f>IF(HKI!$AS36&lt;4,"X","")</f>
        <v/>
      </c>
      <c r="Q33" s="7" t="str">
        <f>IF(HKI!$AW36&lt;4,"X","")</f>
        <v/>
      </c>
      <c r="R33" s="7" t="str">
        <f>IF(HKI!$BA36&lt;4,"X","")</f>
        <v/>
      </c>
      <c r="S33" s="106"/>
      <c r="T33" s="106"/>
      <c r="AW33" s="106"/>
      <c r="AX33" s="106"/>
      <c r="AY33" s="106"/>
      <c r="AZ33" s="106"/>
      <c r="BA33" s="106"/>
      <c r="BB33" s="106"/>
      <c r="BC33" s="106"/>
      <c r="BD33" s="106"/>
    </row>
    <row r="34" spans="1:56" ht="18" customHeight="1">
      <c r="A34" s="123">
        <f>IF(B34="","",SUBTOTAL(3,$B$8:B34))</f>
        <v>27</v>
      </c>
      <c r="B34" s="215" t="str">
        <f>IF(HKI!$B37="","",HKI!B37)</f>
        <v>13D301Đ057</v>
      </c>
      <c r="C34" s="216" t="str">
        <f>IF(HKI!$B37="","",HKI!C37)</f>
        <v>Trịnh Thanh</v>
      </c>
      <c r="D34" s="218" t="str">
        <f>IF(HKI!$B37="","",HKI!D37)</f>
        <v>Hoàng</v>
      </c>
      <c r="E34" s="207" t="str">
        <f t="shared" si="0"/>
        <v/>
      </c>
      <c r="F34" s="207" t="str">
        <f t="shared" si="1"/>
        <v/>
      </c>
      <c r="G34" s="7" t="str">
        <f>IF(HKI!$I37&lt;4,"X","")</f>
        <v/>
      </c>
      <c r="H34" s="7" t="str">
        <f>IF(HKI!$M37&lt;4,"X","")</f>
        <v/>
      </c>
      <c r="I34" s="7" t="str">
        <f>IF(HKI!$Q37&lt;4,"X","")</f>
        <v/>
      </c>
      <c r="J34" s="7" t="str">
        <f>IF(HKI!$U37&lt;4,"X","")</f>
        <v/>
      </c>
      <c r="K34" s="7" t="str">
        <f>IF(HKI!$Y37&lt;4,"X","")</f>
        <v/>
      </c>
      <c r="L34" s="7" t="str">
        <f>IF(HKI!$AC37&lt;4,"X","")</f>
        <v/>
      </c>
      <c r="M34" s="7" t="str">
        <f>IF(HKI!$AG37&lt;4,"X","")</f>
        <v/>
      </c>
      <c r="N34" s="7" t="str">
        <f>IF(HKI!$AK37&lt;4,"X","")</f>
        <v/>
      </c>
      <c r="O34" s="7" t="str">
        <f>IF(HKI!$AO37&lt;4,"X","")</f>
        <v/>
      </c>
      <c r="P34" s="7" t="str">
        <f>IF(HKI!$AS37&lt;4,"X","")</f>
        <v/>
      </c>
      <c r="Q34" s="7" t="str">
        <f>IF(HKI!$AW37&lt;4,"X","")</f>
        <v/>
      </c>
      <c r="R34" s="7" t="str">
        <f>IF(HKI!$BA37&lt;4,"X","")</f>
        <v/>
      </c>
      <c r="S34" s="106"/>
      <c r="T34" s="106"/>
      <c r="AW34" s="106"/>
      <c r="AX34" s="106"/>
      <c r="AY34" s="106"/>
      <c r="AZ34" s="106"/>
      <c r="BA34" s="106"/>
      <c r="BB34" s="106"/>
      <c r="BC34" s="106"/>
      <c r="BD34" s="106"/>
    </row>
    <row r="35" spans="1:56" ht="18" customHeight="1">
      <c r="A35" s="123">
        <f>IF(B35="","",SUBTOTAL(3,$B$8:B35))</f>
        <v>28</v>
      </c>
      <c r="B35" s="215" t="str">
        <f>IF(HKI!$B38="","",HKI!B38)</f>
        <v>13D301Đ201</v>
      </c>
      <c r="C35" s="216" t="str">
        <f>IF(HKI!$B38="","",HKI!C38)</f>
        <v>Nguyễn Quang</v>
      </c>
      <c r="D35" s="218" t="str">
        <f>IF(HKI!$B38="","",HKI!D38)</f>
        <v>Huân</v>
      </c>
      <c r="E35" s="207">
        <f t="shared" si="0"/>
        <v>8</v>
      </c>
      <c r="F35" s="207">
        <f t="shared" si="1"/>
        <v>18</v>
      </c>
      <c r="G35" s="7" t="str">
        <f>IF(HKI!$I38&lt;4,"X","")</f>
        <v>X</v>
      </c>
      <c r="H35" s="7" t="str">
        <f>IF(HKI!$M38&lt;4,"X","")</f>
        <v>X</v>
      </c>
      <c r="I35" s="7" t="str">
        <f>IF(HKI!$Q38&lt;4,"X","")</f>
        <v>X</v>
      </c>
      <c r="J35" s="7" t="str">
        <f>IF(HKI!$U38&lt;4,"X","")</f>
        <v>X</v>
      </c>
      <c r="K35" s="7" t="str">
        <f>IF(HKI!$Y38&lt;4,"X","")</f>
        <v>X</v>
      </c>
      <c r="L35" s="7" t="str">
        <f>IF(HKI!$AC38&lt;4,"X","")</f>
        <v/>
      </c>
      <c r="M35" s="7" t="str">
        <f>IF(HKI!$AG38&lt;4,"X","")</f>
        <v/>
      </c>
      <c r="N35" s="7" t="str">
        <f>IF(HKI!$AK38&lt;4,"X","")</f>
        <v/>
      </c>
      <c r="O35" s="7" t="str">
        <f>IF(HKI!$AO38&lt;4,"X","")</f>
        <v/>
      </c>
      <c r="P35" s="7" t="str">
        <f>IF(HKI!$AS38&lt;4,"X","")</f>
        <v>X</v>
      </c>
      <c r="Q35" s="7" t="str">
        <f>IF(HKI!$AW38&lt;4,"X","")</f>
        <v>X</v>
      </c>
      <c r="R35" s="7" t="str">
        <f>IF(HKI!$BA38&lt;4,"X","")</f>
        <v>X</v>
      </c>
      <c r="S35" s="106"/>
      <c r="T35" s="106"/>
      <c r="AW35" s="106"/>
      <c r="AX35" s="106"/>
      <c r="AY35" s="106"/>
      <c r="AZ35" s="106"/>
      <c r="BA35" s="106"/>
      <c r="BB35" s="106"/>
      <c r="BC35" s="106"/>
      <c r="BD35" s="106"/>
    </row>
    <row r="36" spans="1:56" ht="18" customHeight="1">
      <c r="A36" s="123">
        <f>IF(B36="","",SUBTOTAL(3,$B$8:B36))</f>
        <v>29</v>
      </c>
      <c r="B36" s="215" t="str">
        <f>IF(HKI!$B39="","",HKI!B39)</f>
        <v>13D301Đ061</v>
      </c>
      <c r="C36" s="216" t="str">
        <f>IF(HKI!$B39="","",HKI!C39)</f>
        <v>Huỳnh Thanh</v>
      </c>
      <c r="D36" s="218" t="str">
        <f>IF(HKI!$B39="","",HKI!D39)</f>
        <v>Hùng</v>
      </c>
      <c r="E36" s="207">
        <f t="shared" si="0"/>
        <v>1</v>
      </c>
      <c r="F36" s="207">
        <f t="shared" si="1"/>
        <v>3</v>
      </c>
      <c r="G36" s="7" t="str">
        <f>IF(HKI!$I39&lt;4,"X","")</f>
        <v/>
      </c>
      <c r="H36" s="7" t="str">
        <f>IF(HKI!$M39&lt;4,"X","")</f>
        <v/>
      </c>
      <c r="I36" s="7" t="str">
        <f>IF(HKI!$Q39&lt;4,"X","")</f>
        <v/>
      </c>
      <c r="J36" s="7" t="str">
        <f>IF(HKI!$U39&lt;4,"X","")</f>
        <v/>
      </c>
      <c r="K36" s="7" t="str">
        <f>IF(HKI!$Y39&lt;4,"X","")</f>
        <v>X</v>
      </c>
      <c r="L36" s="7" t="str">
        <f>IF(HKI!$AC39&lt;4,"X","")</f>
        <v/>
      </c>
      <c r="M36" s="7" t="str">
        <f>IF(HKI!$AG39&lt;4,"X","")</f>
        <v/>
      </c>
      <c r="N36" s="7" t="str">
        <f>IF(HKI!$AK39&lt;4,"X","")</f>
        <v/>
      </c>
      <c r="O36" s="7" t="str">
        <f>IF(HKI!$AO39&lt;4,"X","")</f>
        <v/>
      </c>
      <c r="P36" s="7" t="str">
        <f>IF(HKI!$AS39&lt;4,"X","")</f>
        <v/>
      </c>
      <c r="Q36" s="7" t="str">
        <f>IF(HKI!$AW39&lt;4,"X","")</f>
        <v/>
      </c>
      <c r="R36" s="7" t="str">
        <f>IF(HKI!$BA39&lt;4,"X","")</f>
        <v/>
      </c>
      <c r="S36" s="106"/>
      <c r="T36" s="106"/>
      <c r="AW36" s="106"/>
      <c r="AX36" s="106"/>
      <c r="AY36" s="106"/>
      <c r="AZ36" s="106"/>
      <c r="BA36" s="106"/>
      <c r="BB36" s="106"/>
      <c r="BC36" s="106"/>
      <c r="BD36" s="106"/>
    </row>
    <row r="37" spans="1:56" ht="18" customHeight="1">
      <c r="A37" s="123">
        <f>IF(B37="","",SUBTOTAL(3,$B$8:B37))</f>
        <v>30</v>
      </c>
      <c r="B37" s="215" t="str">
        <f>IF(HKI!$B40="","",HKI!B40)</f>
        <v>13D301Đ065</v>
      </c>
      <c r="C37" s="216" t="str">
        <f>IF(HKI!$B40="","",HKI!C40)</f>
        <v>Đoàn Lê Xuân</v>
      </c>
      <c r="D37" s="218" t="str">
        <f>IF(HKI!$B40="","",HKI!D40)</f>
        <v>Huy</v>
      </c>
      <c r="E37" s="207" t="str">
        <f t="shared" si="0"/>
        <v/>
      </c>
      <c r="F37" s="207" t="str">
        <f t="shared" si="1"/>
        <v/>
      </c>
      <c r="G37" s="7" t="str">
        <f>IF(HKI!$I40&lt;4,"X","")</f>
        <v/>
      </c>
      <c r="H37" s="7" t="str">
        <f>IF(HKI!$M40&lt;4,"X","")</f>
        <v/>
      </c>
      <c r="I37" s="7" t="str">
        <f>IF(HKI!$Q40&lt;4,"X","")</f>
        <v/>
      </c>
      <c r="J37" s="7" t="str">
        <f>IF(HKI!$U40&lt;4,"X","")</f>
        <v/>
      </c>
      <c r="K37" s="7" t="str">
        <f>IF(HKI!$Y40&lt;4,"X","")</f>
        <v/>
      </c>
      <c r="L37" s="7" t="str">
        <f>IF(HKI!$AC40&lt;4,"X","")</f>
        <v/>
      </c>
      <c r="M37" s="7" t="str">
        <f>IF(HKI!$AG40&lt;4,"X","")</f>
        <v/>
      </c>
      <c r="N37" s="7" t="str">
        <f>IF(HKI!$AK40&lt;4,"X","")</f>
        <v/>
      </c>
      <c r="O37" s="7" t="str">
        <f>IF(HKI!$AO40&lt;4,"X","")</f>
        <v/>
      </c>
      <c r="P37" s="7" t="str">
        <f>IF(HKI!$AS40&lt;4,"X","")</f>
        <v/>
      </c>
      <c r="Q37" s="7" t="str">
        <f>IF(HKI!$AW40&lt;4,"X","")</f>
        <v/>
      </c>
      <c r="R37" s="7" t="str">
        <f>IF(HKI!$BA40&lt;4,"X","")</f>
        <v/>
      </c>
      <c r="S37" s="106"/>
      <c r="T37" s="106"/>
      <c r="AW37" s="106"/>
      <c r="AX37" s="106"/>
      <c r="AY37" s="106"/>
      <c r="AZ37" s="106"/>
      <c r="BA37" s="106"/>
      <c r="BB37" s="106"/>
      <c r="BC37" s="106"/>
      <c r="BD37" s="106"/>
    </row>
    <row r="38" spans="1:56" ht="18" customHeight="1">
      <c r="A38" s="123">
        <f>IF(B38="","",SUBTOTAL(3,$B$8:B38))</f>
        <v>31</v>
      </c>
      <c r="B38" s="215" t="str">
        <f>IF(HKI!$B41="","",HKI!B41)</f>
        <v>13D301Đ073</v>
      </c>
      <c r="C38" s="216" t="str">
        <f>IF(HKI!$B41="","",HKI!C41)</f>
        <v>Trịnh Đại</v>
      </c>
      <c r="D38" s="218" t="str">
        <f>IF(HKI!$B41="","",HKI!D41)</f>
        <v>Lăng</v>
      </c>
      <c r="E38" s="207">
        <f t="shared" si="0"/>
        <v>1</v>
      </c>
      <c r="F38" s="207">
        <f t="shared" si="1"/>
        <v>3</v>
      </c>
      <c r="G38" s="7" t="str">
        <f>IF(HKI!$I41&lt;4,"X","")</f>
        <v/>
      </c>
      <c r="H38" s="7" t="str">
        <f>IF(HKI!$M41&lt;4,"X","")</f>
        <v/>
      </c>
      <c r="I38" s="7" t="str">
        <f>IF(HKI!$Q41&lt;4,"X","")</f>
        <v/>
      </c>
      <c r="J38" s="7" t="str">
        <f>IF(HKI!$U41&lt;4,"X","")</f>
        <v/>
      </c>
      <c r="K38" s="7" t="str">
        <f>IF(HKI!$Y41&lt;4,"X","")</f>
        <v>X</v>
      </c>
      <c r="L38" s="7" t="str">
        <f>IF(HKI!$AC41&lt;4,"X","")</f>
        <v/>
      </c>
      <c r="M38" s="7" t="str">
        <f>IF(HKI!$AG41&lt;4,"X","")</f>
        <v/>
      </c>
      <c r="N38" s="7" t="str">
        <f>IF(HKI!$AK41&lt;4,"X","")</f>
        <v/>
      </c>
      <c r="O38" s="7" t="str">
        <f>IF(HKI!$AO41&lt;4,"X","")</f>
        <v/>
      </c>
      <c r="P38" s="7" t="str">
        <f>IF(HKI!$AS41&lt;4,"X","")</f>
        <v/>
      </c>
      <c r="Q38" s="7" t="str">
        <f>IF(HKI!$AW41&lt;4,"X","")</f>
        <v/>
      </c>
      <c r="R38" s="7" t="str">
        <f>IF(HKI!$BA41&lt;4,"X","")</f>
        <v/>
      </c>
      <c r="S38" s="106"/>
      <c r="T38" s="106"/>
      <c r="AW38" s="106"/>
      <c r="AX38" s="106"/>
      <c r="AY38" s="106"/>
      <c r="AZ38" s="106"/>
      <c r="BA38" s="106"/>
      <c r="BB38" s="106"/>
      <c r="BC38" s="106"/>
      <c r="BD38" s="106"/>
    </row>
    <row r="39" spans="1:56" ht="18" customHeight="1">
      <c r="A39" s="123">
        <f>IF(B39="","",SUBTOTAL(3,$B$8:B39))</f>
        <v>32</v>
      </c>
      <c r="B39" s="215" t="str">
        <f>IF(HKI!$B42="","",HKI!B42)</f>
        <v>13D301Đ204</v>
      </c>
      <c r="C39" s="216" t="str">
        <f>IF(HKI!$B42="","",HKI!C42)</f>
        <v>Nguyễn Khánh</v>
      </c>
      <c r="D39" s="218" t="str">
        <f>IF(HKI!$B42="","",HKI!D42)</f>
        <v>Linh</v>
      </c>
      <c r="E39" s="207">
        <f t="shared" si="0"/>
        <v>1</v>
      </c>
      <c r="F39" s="207">
        <f t="shared" si="1"/>
        <v>3</v>
      </c>
      <c r="G39" s="7" t="str">
        <f>IF(HKI!$I42&lt;4,"X","")</f>
        <v/>
      </c>
      <c r="H39" s="7" t="str">
        <f>IF(HKI!$M42&lt;4,"X","")</f>
        <v/>
      </c>
      <c r="I39" s="7" t="str">
        <f>IF(HKI!$Q42&lt;4,"X","")</f>
        <v/>
      </c>
      <c r="J39" s="7" t="str">
        <f>IF(HKI!$U42&lt;4,"X","")</f>
        <v/>
      </c>
      <c r="K39" s="7" t="str">
        <f>IF(HKI!$Y42&lt;4,"X","")</f>
        <v>X</v>
      </c>
      <c r="L39" s="7" t="str">
        <f>IF(HKI!$AC42&lt;4,"X","")</f>
        <v/>
      </c>
      <c r="M39" s="7" t="str">
        <f>IF(HKI!$AG42&lt;4,"X","")</f>
        <v/>
      </c>
      <c r="N39" s="7" t="str">
        <f>IF(HKI!$AK42&lt;4,"X","")</f>
        <v/>
      </c>
      <c r="O39" s="7" t="str">
        <f>IF(HKI!$AO42&lt;4,"X","")</f>
        <v/>
      </c>
      <c r="P39" s="7" t="str">
        <f>IF(HKI!$AS42&lt;4,"X","")</f>
        <v/>
      </c>
      <c r="Q39" s="7" t="str">
        <f>IF(HKI!$AW42&lt;4,"X","")</f>
        <v/>
      </c>
      <c r="R39" s="7" t="str">
        <f>IF(HKI!$BA42&lt;4,"X","")</f>
        <v/>
      </c>
      <c r="S39" s="106"/>
      <c r="T39" s="106"/>
      <c r="AW39" s="106"/>
      <c r="AX39" s="106"/>
      <c r="AY39" s="106"/>
      <c r="AZ39" s="106"/>
      <c r="BA39" s="106"/>
      <c r="BB39" s="106"/>
      <c r="BC39" s="106"/>
      <c r="BD39" s="106"/>
    </row>
    <row r="40" spans="1:56" ht="18" customHeight="1">
      <c r="A40" s="123">
        <f>IF(B40="","",SUBTOTAL(3,$B$8:B40))</f>
        <v>33</v>
      </c>
      <c r="B40" s="215" t="str">
        <f>IF(HKI!$B43="","",HKI!B43)</f>
        <v>13D301Đ162</v>
      </c>
      <c r="C40" s="216" t="str">
        <f>IF(HKI!$B43="","",HKI!C43)</f>
        <v>Đỗ Văn</v>
      </c>
      <c r="D40" s="218" t="str">
        <f>IF(HKI!$B43="","",HKI!D43)</f>
        <v>Lượng</v>
      </c>
      <c r="E40" s="207">
        <f t="shared" si="0"/>
        <v>1</v>
      </c>
      <c r="F40" s="207">
        <f t="shared" si="1"/>
        <v>3</v>
      </c>
      <c r="G40" s="7" t="str">
        <f>IF(HKI!$I43&lt;4,"X","")</f>
        <v/>
      </c>
      <c r="H40" s="7" t="str">
        <f>IF(HKI!$M43&lt;4,"X","")</f>
        <v/>
      </c>
      <c r="I40" s="7" t="str">
        <f>IF(HKI!$Q43&lt;4,"X","")</f>
        <v/>
      </c>
      <c r="J40" s="7" t="str">
        <f>IF(HKI!$U43&lt;4,"X","")</f>
        <v/>
      </c>
      <c r="K40" s="7" t="str">
        <f>IF(HKI!$Y43&lt;4,"X","")</f>
        <v>X</v>
      </c>
      <c r="L40" s="7" t="str">
        <f>IF(HKI!$AC43&lt;4,"X","")</f>
        <v/>
      </c>
      <c r="M40" s="7" t="str">
        <f>IF(HKI!$AG43&lt;4,"X","")</f>
        <v/>
      </c>
      <c r="N40" s="7" t="str">
        <f>IF(HKI!$AK43&lt;4,"X","")</f>
        <v/>
      </c>
      <c r="O40" s="7" t="str">
        <f>IF(HKI!$AO43&lt;4,"X","")</f>
        <v/>
      </c>
      <c r="P40" s="7" t="str">
        <f>IF(HKI!$AS43&lt;4,"X","")</f>
        <v/>
      </c>
      <c r="Q40" s="7" t="str">
        <f>IF(HKI!$AW43&lt;4,"X","")</f>
        <v/>
      </c>
      <c r="R40" s="7" t="str">
        <f>IF(HKI!$BA43&lt;4,"X","")</f>
        <v/>
      </c>
      <c r="S40" s="106"/>
      <c r="T40" s="106"/>
      <c r="AW40" s="106"/>
      <c r="AX40" s="106"/>
      <c r="AY40" s="106"/>
      <c r="AZ40" s="106"/>
      <c r="BA40" s="106"/>
      <c r="BB40" s="106"/>
      <c r="BC40" s="106"/>
      <c r="BD40" s="106"/>
    </row>
    <row r="41" spans="1:56" ht="18" customHeight="1">
      <c r="A41" s="123">
        <f>IF(B41="","",SUBTOTAL(3,$B$8:B41))</f>
        <v>34</v>
      </c>
      <c r="B41" s="215" t="str">
        <f>IF(HKI!$B44="","",HKI!B44)</f>
        <v>13D301Đ081</v>
      </c>
      <c r="C41" s="216" t="str">
        <f>IF(HKI!$B44="","",HKI!C44)</f>
        <v>Mai Đình</v>
      </c>
      <c r="D41" s="218" t="str">
        <f>IF(HKI!$B44="","",HKI!D44)</f>
        <v>Luyện</v>
      </c>
      <c r="E41" s="207">
        <f t="shared" si="0"/>
        <v>1</v>
      </c>
      <c r="F41" s="207">
        <f t="shared" si="1"/>
        <v>3</v>
      </c>
      <c r="G41" s="7" t="str">
        <f>IF(HKI!$I44&lt;4,"X","")</f>
        <v/>
      </c>
      <c r="H41" s="7" t="str">
        <f>IF(HKI!$M44&lt;4,"X","")</f>
        <v/>
      </c>
      <c r="I41" s="7" t="str">
        <f>IF(HKI!$Q44&lt;4,"X","")</f>
        <v/>
      </c>
      <c r="J41" s="7" t="str">
        <f>IF(HKI!$U44&lt;4,"X","")</f>
        <v/>
      </c>
      <c r="K41" s="7" t="str">
        <f>IF(HKI!$Y44&lt;4,"X","")</f>
        <v>X</v>
      </c>
      <c r="L41" s="7" t="str">
        <f>IF(HKI!$AC44&lt;4,"X","")</f>
        <v/>
      </c>
      <c r="M41" s="7" t="str">
        <f>IF(HKI!$AG44&lt;4,"X","")</f>
        <v/>
      </c>
      <c r="N41" s="7" t="str">
        <f>IF(HKI!$AK44&lt;4,"X","")</f>
        <v/>
      </c>
      <c r="O41" s="7" t="str">
        <f>IF(HKI!$AO44&lt;4,"X","")</f>
        <v/>
      </c>
      <c r="P41" s="7" t="str">
        <f>IF(HKI!$AS44&lt;4,"X","")</f>
        <v/>
      </c>
      <c r="Q41" s="7" t="str">
        <f>IF(HKI!$AW44&lt;4,"X","")</f>
        <v/>
      </c>
      <c r="R41" s="7" t="str">
        <f>IF(HKI!$BA44&lt;4,"X","")</f>
        <v/>
      </c>
      <c r="S41" s="106"/>
      <c r="T41" s="106"/>
      <c r="AW41" s="106"/>
      <c r="AX41" s="106"/>
      <c r="AY41" s="106"/>
      <c r="AZ41" s="106"/>
      <c r="BA41" s="106"/>
      <c r="BB41" s="106"/>
      <c r="BC41" s="106"/>
      <c r="BD41" s="106"/>
    </row>
    <row r="42" spans="1:56" ht="18" customHeight="1">
      <c r="A42" s="123">
        <f>IF(B42="","",SUBTOTAL(3,$B$8:B42))</f>
        <v>35</v>
      </c>
      <c r="B42" s="215" t="str">
        <f>IF(HKI!$B45="","",HKI!B45)</f>
        <v>13D301Đ085</v>
      </c>
      <c r="C42" s="216" t="str">
        <f>IF(HKI!$B45="","",HKI!C45)</f>
        <v>Võ Hoài</v>
      </c>
      <c r="D42" s="218" t="str">
        <f>IF(HKI!$B45="","",HKI!D45)</f>
        <v>Nam</v>
      </c>
      <c r="E42" s="207" t="str">
        <f t="shared" si="0"/>
        <v/>
      </c>
      <c r="F42" s="207" t="str">
        <f t="shared" si="1"/>
        <v/>
      </c>
      <c r="G42" s="7" t="str">
        <f>IF(HKI!$I45&lt;4,"X","")</f>
        <v/>
      </c>
      <c r="H42" s="7" t="str">
        <f>IF(HKI!$M45&lt;4,"X","")</f>
        <v/>
      </c>
      <c r="I42" s="7" t="str">
        <f>IF(HKI!$Q45&lt;4,"X","")</f>
        <v/>
      </c>
      <c r="J42" s="7" t="str">
        <f>IF(HKI!$U45&lt;4,"X","")</f>
        <v/>
      </c>
      <c r="K42" s="7" t="str">
        <f>IF(HKI!$Y45&lt;4,"X","")</f>
        <v/>
      </c>
      <c r="L42" s="7" t="str">
        <f>IF(HKI!$AC45&lt;4,"X","")</f>
        <v/>
      </c>
      <c r="M42" s="7" t="str">
        <f>IF(HKI!$AG45&lt;4,"X","")</f>
        <v/>
      </c>
      <c r="N42" s="7" t="str">
        <f>IF(HKI!$AK45&lt;4,"X","")</f>
        <v/>
      </c>
      <c r="O42" s="7" t="str">
        <f>IF(HKI!$AO45&lt;4,"X","")</f>
        <v/>
      </c>
      <c r="P42" s="7" t="str">
        <f>IF(HKI!$AS45&lt;4,"X","")</f>
        <v/>
      </c>
      <c r="Q42" s="7" t="str">
        <f>IF(HKI!$AW45&lt;4,"X","")</f>
        <v/>
      </c>
      <c r="R42" s="7" t="str">
        <f>IF(HKI!$BA45&lt;4,"X","")</f>
        <v/>
      </c>
      <c r="S42" s="106"/>
      <c r="T42" s="106"/>
      <c r="AW42" s="106"/>
      <c r="AX42" s="106"/>
      <c r="AY42" s="106"/>
      <c r="AZ42" s="106"/>
      <c r="BA42" s="106"/>
      <c r="BB42" s="106"/>
      <c r="BC42" s="106"/>
      <c r="BD42" s="106"/>
    </row>
    <row r="43" spans="1:56" ht="18" customHeight="1">
      <c r="A43" s="123">
        <f>IF(B43="","",SUBTOTAL(3,$B$8:B43))</f>
        <v>36</v>
      </c>
      <c r="B43" s="215" t="str">
        <f>IF(HKI!$B46="","",HKI!B46)</f>
        <v>13D301Đ089</v>
      </c>
      <c r="C43" s="216" t="str">
        <f>IF(HKI!$B46="","",HKI!C46)</f>
        <v>Nguyễn Hữu</v>
      </c>
      <c r="D43" s="218" t="str">
        <f>IF(HKI!$B46="","",HKI!D46)</f>
        <v>Nghĩa</v>
      </c>
      <c r="E43" s="207">
        <f t="shared" si="0"/>
        <v>1</v>
      </c>
      <c r="F43" s="207">
        <f t="shared" si="1"/>
        <v>3</v>
      </c>
      <c r="G43" s="7" t="str">
        <f>IF(HKI!$I46&lt;4,"X","")</f>
        <v/>
      </c>
      <c r="H43" s="7" t="str">
        <f>IF(HKI!$M46&lt;4,"X","")</f>
        <v/>
      </c>
      <c r="I43" s="7" t="str">
        <f>IF(HKI!$Q46&lt;4,"X","")</f>
        <v/>
      </c>
      <c r="J43" s="7" t="str">
        <f>IF(HKI!$U46&lt;4,"X","")</f>
        <v/>
      </c>
      <c r="K43" s="7" t="str">
        <f>IF(HKI!$Y46&lt;4,"X","")</f>
        <v>X</v>
      </c>
      <c r="L43" s="7" t="str">
        <f>IF(HKI!$AC46&lt;4,"X","")</f>
        <v/>
      </c>
      <c r="M43" s="7" t="str">
        <f>IF(HKI!$AG46&lt;4,"X","")</f>
        <v/>
      </c>
      <c r="N43" s="7" t="str">
        <f>IF(HKI!$AK46&lt;4,"X","")</f>
        <v/>
      </c>
      <c r="O43" s="7" t="str">
        <f>IF(HKI!$AO46&lt;4,"X","")</f>
        <v/>
      </c>
      <c r="P43" s="7" t="str">
        <f>IF(HKI!$AS46&lt;4,"X","")</f>
        <v/>
      </c>
      <c r="Q43" s="7" t="str">
        <f>IF(HKI!$AW46&lt;4,"X","")</f>
        <v/>
      </c>
      <c r="R43" s="7" t="str">
        <f>IF(HKI!$BA46&lt;4,"X","")</f>
        <v/>
      </c>
      <c r="S43" s="106"/>
      <c r="T43" s="106"/>
      <c r="AW43" s="106"/>
      <c r="AX43" s="106"/>
      <c r="AY43" s="106"/>
      <c r="AZ43" s="106"/>
      <c r="BA43" s="106"/>
      <c r="BB43" s="106"/>
      <c r="BC43" s="106"/>
      <c r="BD43" s="106"/>
    </row>
    <row r="44" spans="1:56" ht="18" customHeight="1">
      <c r="A44" s="123">
        <f>IF(B44="","",SUBTOTAL(3,$B$8:B44))</f>
        <v>37</v>
      </c>
      <c r="B44" s="215" t="str">
        <f>IF(HKI!$B47="","",HKI!B47)</f>
        <v>13D301Đ097</v>
      </c>
      <c r="C44" s="216" t="str">
        <f>IF(HKI!$B47="","",HKI!C47)</f>
        <v>Nguyễn Thành</v>
      </c>
      <c r="D44" s="218" t="str">
        <f>IF(HKI!$B47="","",HKI!D47)</f>
        <v>Phát</v>
      </c>
      <c r="E44" s="207" t="str">
        <f t="shared" si="0"/>
        <v/>
      </c>
      <c r="F44" s="207" t="str">
        <f t="shared" si="1"/>
        <v/>
      </c>
      <c r="G44" s="7" t="str">
        <f>IF(HKI!$I47&lt;4,"X","")</f>
        <v/>
      </c>
      <c r="H44" s="7" t="str">
        <f>IF(HKI!$M47&lt;4,"X","")</f>
        <v/>
      </c>
      <c r="I44" s="7" t="str">
        <f>IF(HKI!$Q47&lt;4,"X","")</f>
        <v/>
      </c>
      <c r="J44" s="7" t="str">
        <f>IF(HKI!$U47&lt;4,"X","")</f>
        <v/>
      </c>
      <c r="K44" s="7" t="str">
        <f>IF(HKI!$Y47&lt;4,"X","")</f>
        <v/>
      </c>
      <c r="L44" s="7" t="str">
        <f>IF(HKI!$AC47&lt;4,"X","")</f>
        <v/>
      </c>
      <c r="M44" s="7" t="str">
        <f>IF(HKI!$AG47&lt;4,"X","")</f>
        <v/>
      </c>
      <c r="N44" s="7" t="str">
        <f>IF(HKI!$AK47&lt;4,"X","")</f>
        <v/>
      </c>
      <c r="O44" s="7" t="str">
        <f>IF(HKI!$AO47&lt;4,"X","")</f>
        <v/>
      </c>
      <c r="P44" s="7" t="str">
        <f>IF(HKI!$AS47&lt;4,"X","")</f>
        <v/>
      </c>
      <c r="Q44" s="7" t="str">
        <f>IF(HKI!$AW47&lt;4,"X","")</f>
        <v/>
      </c>
      <c r="R44" s="7" t="str">
        <f>IF(HKI!$BA47&lt;4,"X","")</f>
        <v/>
      </c>
      <c r="S44" s="106"/>
      <c r="T44" s="106"/>
      <c r="AW44" s="106"/>
      <c r="AX44" s="106"/>
      <c r="AY44" s="106"/>
      <c r="AZ44" s="106"/>
      <c r="BA44" s="106"/>
      <c r="BB44" s="106"/>
      <c r="BC44" s="106"/>
      <c r="BD44" s="106"/>
    </row>
    <row r="45" spans="1:56" ht="18" customHeight="1">
      <c r="A45" s="123">
        <f>IF(B45="","",SUBTOTAL(3,$B$8:B45))</f>
        <v>38</v>
      </c>
      <c r="B45" s="215" t="str">
        <f>IF(HKI!$B48="","",HKI!B48)</f>
        <v>13D301Đ101</v>
      </c>
      <c r="C45" s="216" t="str">
        <f>IF(HKI!$B48="","",HKI!C48)</f>
        <v>Huỳnh Thanh</v>
      </c>
      <c r="D45" s="218" t="str">
        <f>IF(HKI!$B48="","",HKI!D48)</f>
        <v>Phú</v>
      </c>
      <c r="E45" s="207">
        <f t="shared" si="0"/>
        <v>8</v>
      </c>
      <c r="F45" s="207">
        <f t="shared" si="1"/>
        <v>18</v>
      </c>
      <c r="G45" s="7" t="str">
        <f>IF(HKI!$I48&lt;4,"X","")</f>
        <v>X</v>
      </c>
      <c r="H45" s="7" t="str">
        <f>IF(HKI!$M48&lt;4,"X","")</f>
        <v>X</v>
      </c>
      <c r="I45" s="7" t="str">
        <f>IF(HKI!$Q48&lt;4,"X","")</f>
        <v>X</v>
      </c>
      <c r="J45" s="7" t="str">
        <f>IF(HKI!$U48&lt;4,"X","")</f>
        <v>X</v>
      </c>
      <c r="K45" s="7" t="str">
        <f>IF(HKI!$Y48&lt;4,"X","")</f>
        <v>X</v>
      </c>
      <c r="L45" s="7" t="str">
        <f>IF(HKI!$AC48&lt;4,"X","")</f>
        <v/>
      </c>
      <c r="M45" s="7" t="str">
        <f>IF(HKI!$AG48&lt;4,"X","")</f>
        <v/>
      </c>
      <c r="N45" s="7" t="str">
        <f>IF(HKI!$AK48&lt;4,"X","")</f>
        <v/>
      </c>
      <c r="O45" s="7" t="str">
        <f>IF(HKI!$AO48&lt;4,"X","")</f>
        <v/>
      </c>
      <c r="P45" s="7" t="str">
        <f>IF(HKI!$AS48&lt;4,"X","")</f>
        <v>X</v>
      </c>
      <c r="Q45" s="7" t="str">
        <f>IF(HKI!$AW48&lt;4,"X","")</f>
        <v>X</v>
      </c>
      <c r="R45" s="7" t="str">
        <f>IF(HKI!$BA48&lt;4,"X","")</f>
        <v>X</v>
      </c>
      <c r="S45" s="106"/>
      <c r="T45" s="106"/>
      <c r="AW45" s="106"/>
      <c r="AX45" s="106"/>
      <c r="AY45" s="106"/>
      <c r="AZ45" s="106"/>
      <c r="BA45" s="106"/>
      <c r="BB45" s="106"/>
      <c r="BC45" s="106"/>
      <c r="BD45" s="106"/>
    </row>
    <row r="46" spans="1:56" ht="18" customHeight="1">
      <c r="A46" s="123">
        <f>IF(B46="","",SUBTOTAL(3,$B$8:B46))</f>
        <v>39</v>
      </c>
      <c r="B46" s="215" t="str">
        <f>IF(HKI!$B49="","",HKI!B49)</f>
        <v>13D301Đ117</v>
      </c>
      <c r="C46" s="216" t="str">
        <f>IF(HKI!$B49="","",HKI!C49)</f>
        <v>Trịnh Ngọc</v>
      </c>
      <c r="D46" s="218" t="str">
        <f>IF(HKI!$B49="","",HKI!D49)</f>
        <v>Sơn</v>
      </c>
      <c r="E46" s="207">
        <f t="shared" si="0"/>
        <v>8</v>
      </c>
      <c r="F46" s="207">
        <f t="shared" si="1"/>
        <v>18</v>
      </c>
      <c r="G46" s="7" t="str">
        <f>IF(HKI!$I49&lt;4,"X","")</f>
        <v>X</v>
      </c>
      <c r="H46" s="7" t="str">
        <f>IF(HKI!$M49&lt;4,"X","")</f>
        <v>X</v>
      </c>
      <c r="I46" s="7" t="str">
        <f>IF(HKI!$Q49&lt;4,"X","")</f>
        <v>X</v>
      </c>
      <c r="J46" s="7" t="str">
        <f>IF(HKI!$U49&lt;4,"X","")</f>
        <v>X</v>
      </c>
      <c r="K46" s="7" t="str">
        <f>IF(HKI!$Y49&lt;4,"X","")</f>
        <v>X</v>
      </c>
      <c r="L46" s="7" t="str">
        <f>IF(HKI!$AC49&lt;4,"X","")</f>
        <v/>
      </c>
      <c r="M46" s="7" t="str">
        <f>IF(HKI!$AG49&lt;4,"X","")</f>
        <v/>
      </c>
      <c r="N46" s="7" t="str">
        <f>IF(HKI!$AK49&lt;4,"X","")</f>
        <v/>
      </c>
      <c r="O46" s="7" t="str">
        <f>IF(HKI!$AO49&lt;4,"X","")</f>
        <v/>
      </c>
      <c r="P46" s="7" t="str">
        <f>IF(HKI!$AS49&lt;4,"X","")</f>
        <v>X</v>
      </c>
      <c r="Q46" s="7" t="str">
        <f>IF(HKI!$AW49&lt;4,"X","")</f>
        <v>X</v>
      </c>
      <c r="R46" s="7" t="str">
        <f>IF(HKI!$BA49&lt;4,"X","")</f>
        <v>X</v>
      </c>
      <c r="S46" s="106"/>
      <c r="T46" s="106"/>
      <c r="AW46" s="106"/>
      <c r="AX46" s="106"/>
      <c r="AY46" s="106"/>
      <c r="AZ46" s="106"/>
      <c r="BA46" s="106"/>
      <c r="BB46" s="106"/>
      <c r="BC46" s="106"/>
      <c r="BD46" s="106"/>
    </row>
    <row r="47" spans="1:56" ht="18" customHeight="1">
      <c r="A47" s="123">
        <f>IF(B47="","",SUBTOTAL(3,$B$8:B47))</f>
        <v>40</v>
      </c>
      <c r="B47" s="215" t="str">
        <f>IF(HKI!$B50="","",HKI!B50)</f>
        <v>13D301Đ121</v>
      </c>
      <c r="C47" s="216" t="str">
        <f>IF(HKI!$B50="","",HKI!C50)</f>
        <v>Lê Minh</v>
      </c>
      <c r="D47" s="218" t="str">
        <f>IF(HKI!$B50="","",HKI!D50)</f>
        <v>Tâm</v>
      </c>
      <c r="E47" s="207">
        <f t="shared" si="0"/>
        <v>1</v>
      </c>
      <c r="F47" s="207">
        <f t="shared" si="1"/>
        <v>3</v>
      </c>
      <c r="G47" s="7" t="str">
        <f>IF(HKI!$I50&lt;4,"X","")</f>
        <v/>
      </c>
      <c r="H47" s="7" t="str">
        <f>IF(HKI!$M50&lt;4,"X","")</f>
        <v/>
      </c>
      <c r="I47" s="7" t="str">
        <f>IF(HKI!$Q50&lt;4,"X","")</f>
        <v/>
      </c>
      <c r="J47" s="7" t="str">
        <f>IF(HKI!$U50&lt;4,"X","")</f>
        <v/>
      </c>
      <c r="K47" s="7" t="str">
        <f>IF(HKI!$Y50&lt;4,"X","")</f>
        <v>X</v>
      </c>
      <c r="L47" s="7" t="str">
        <f>IF(HKI!$AC50&lt;4,"X","")</f>
        <v/>
      </c>
      <c r="M47" s="7" t="str">
        <f>IF(HKI!$AG50&lt;4,"X","")</f>
        <v/>
      </c>
      <c r="N47" s="7" t="str">
        <f>IF(HKI!$AK50&lt;4,"X","")</f>
        <v/>
      </c>
      <c r="O47" s="7" t="str">
        <f>IF(HKI!$AO50&lt;4,"X","")</f>
        <v/>
      </c>
      <c r="P47" s="7" t="str">
        <f>IF(HKI!$AS50&lt;4,"X","")</f>
        <v/>
      </c>
      <c r="Q47" s="7" t="str">
        <f>IF(HKI!$AW50&lt;4,"X","")</f>
        <v/>
      </c>
      <c r="R47" s="7" t="str">
        <f>IF(HKI!$BA50&lt;4,"X","")</f>
        <v/>
      </c>
      <c r="S47" s="106"/>
      <c r="T47" s="106"/>
      <c r="AW47" s="106"/>
      <c r="AX47" s="106"/>
      <c r="AY47" s="106"/>
      <c r="AZ47" s="106"/>
      <c r="BA47" s="106"/>
      <c r="BB47" s="106"/>
      <c r="BC47" s="106"/>
      <c r="BD47" s="106"/>
    </row>
    <row r="48" spans="1:56" ht="18" customHeight="1">
      <c r="A48" s="123">
        <f>IF(B48="","",SUBTOTAL(3,$B$8:B48))</f>
        <v>41</v>
      </c>
      <c r="B48" s="215" t="str">
        <f>IF(HKI!$B51="","",HKI!B51)</f>
        <v>13D301Đ124</v>
      </c>
      <c r="C48" s="216" t="str">
        <f>IF(HKI!$B51="","",HKI!C51)</f>
        <v>Cao Nguyễn Nhật</v>
      </c>
      <c r="D48" s="218" t="str">
        <f>IF(HKI!$B51="","",HKI!D51)</f>
        <v>Tân</v>
      </c>
      <c r="E48" s="207" t="str">
        <f t="shared" si="0"/>
        <v/>
      </c>
      <c r="F48" s="207" t="str">
        <f t="shared" si="1"/>
        <v/>
      </c>
      <c r="G48" s="7" t="str">
        <f>IF(HKI!$I51&lt;4,"X","")</f>
        <v/>
      </c>
      <c r="H48" s="7" t="str">
        <f>IF(HKI!$M51&lt;4,"X","")</f>
        <v/>
      </c>
      <c r="I48" s="7" t="str">
        <f>IF(HKI!$Q51&lt;4,"X","")</f>
        <v/>
      </c>
      <c r="J48" s="7" t="str">
        <f>IF(HKI!$U51&lt;4,"X","")</f>
        <v/>
      </c>
      <c r="K48" s="7" t="str">
        <f>IF(HKI!$Y51&lt;4,"X","")</f>
        <v/>
      </c>
      <c r="L48" s="7" t="str">
        <f>IF(HKI!$AC51&lt;4,"X","")</f>
        <v/>
      </c>
      <c r="M48" s="7" t="str">
        <f>IF(HKI!$AG51&lt;4,"X","")</f>
        <v/>
      </c>
      <c r="N48" s="7" t="str">
        <f>IF(HKI!$AK51&lt;4,"X","")</f>
        <v/>
      </c>
      <c r="O48" s="7" t="str">
        <f>IF(HKI!$AO51&lt;4,"X","")</f>
        <v/>
      </c>
      <c r="P48" s="7" t="str">
        <f>IF(HKI!$AS51&lt;4,"X","")</f>
        <v/>
      </c>
      <c r="Q48" s="7" t="str">
        <f>IF(HKI!$AW51&lt;4,"X","")</f>
        <v/>
      </c>
      <c r="R48" s="7" t="str">
        <f>IF(HKI!$BA51&lt;4,"X","")</f>
        <v/>
      </c>
      <c r="S48" s="106"/>
      <c r="T48" s="106"/>
      <c r="AW48" s="106"/>
      <c r="AX48" s="106"/>
      <c r="AY48" s="106"/>
      <c r="AZ48" s="106"/>
      <c r="BA48" s="106"/>
      <c r="BB48" s="106"/>
      <c r="BC48" s="106"/>
      <c r="BD48" s="106"/>
    </row>
    <row r="49" spans="1:56" ht="18" customHeight="1">
      <c r="A49" s="123">
        <f>IF(B49="","",SUBTOTAL(3,$B$8:B49))</f>
        <v>42</v>
      </c>
      <c r="B49" s="215" t="str">
        <f>IF(HKI!$B52="","",HKI!B52)</f>
        <v>13D301Đ130</v>
      </c>
      <c r="C49" s="216" t="str">
        <f>IF(HKI!$B52="","",HKI!C52)</f>
        <v>Nguyễn Việt</v>
      </c>
      <c r="D49" s="218" t="str">
        <f>IF(HKI!$B52="","",HKI!D52)</f>
        <v>Thắng</v>
      </c>
      <c r="E49" s="207" t="str">
        <f t="shared" si="0"/>
        <v/>
      </c>
      <c r="F49" s="207" t="str">
        <f t="shared" si="1"/>
        <v/>
      </c>
      <c r="G49" s="7" t="str">
        <f>IF(HKI!$I52&lt;4,"X","")</f>
        <v/>
      </c>
      <c r="H49" s="7" t="str">
        <f>IF(HKI!$M52&lt;4,"X","")</f>
        <v/>
      </c>
      <c r="I49" s="7" t="str">
        <f>IF(HKI!$Q52&lt;4,"X","")</f>
        <v/>
      </c>
      <c r="J49" s="7" t="str">
        <f>IF(HKI!$U52&lt;4,"X","")</f>
        <v/>
      </c>
      <c r="K49" s="7" t="str">
        <f>IF(HKI!$Y52&lt;4,"X","")</f>
        <v/>
      </c>
      <c r="L49" s="7" t="str">
        <f>IF(HKI!$AC52&lt;4,"X","")</f>
        <v/>
      </c>
      <c r="M49" s="7" t="str">
        <f>IF(HKI!$AG52&lt;4,"X","")</f>
        <v/>
      </c>
      <c r="N49" s="7" t="str">
        <f>IF(HKI!$AK52&lt;4,"X","")</f>
        <v/>
      </c>
      <c r="O49" s="7" t="str">
        <f>IF(HKI!$AO52&lt;4,"X","")</f>
        <v/>
      </c>
      <c r="P49" s="7" t="str">
        <f>IF(HKI!$AS52&lt;4,"X","")</f>
        <v/>
      </c>
      <c r="Q49" s="7" t="str">
        <f>IF(HKI!$AW52&lt;4,"X","")</f>
        <v/>
      </c>
      <c r="R49" s="7" t="str">
        <f>IF(HKI!$BA52&lt;4,"X","")</f>
        <v/>
      </c>
      <c r="S49" s="106"/>
      <c r="T49" s="106"/>
      <c r="AW49" s="106"/>
      <c r="AX49" s="106"/>
      <c r="AY49" s="106"/>
      <c r="AZ49" s="106"/>
      <c r="BA49" s="106"/>
      <c r="BB49" s="106"/>
      <c r="BC49" s="106"/>
      <c r="BD49" s="106"/>
    </row>
    <row r="50" spans="1:56" ht="18" customHeight="1">
      <c r="A50" s="123">
        <f>IF(B50="","",SUBTOTAL(3,$B$8:B50))</f>
        <v>43</v>
      </c>
      <c r="B50" s="215" t="str">
        <f>IF(HKI!$B53="","",HKI!B53)</f>
        <v>13D301Đ136</v>
      </c>
      <c r="C50" s="216" t="str">
        <f>IF(HKI!$B53="","",HKI!C53)</f>
        <v>Trần Minh</v>
      </c>
      <c r="D50" s="218" t="str">
        <f>IF(HKI!$B53="","",HKI!D53)</f>
        <v>Thanh</v>
      </c>
      <c r="E50" s="207" t="str">
        <f t="shared" si="0"/>
        <v/>
      </c>
      <c r="F50" s="207" t="str">
        <f t="shared" si="1"/>
        <v/>
      </c>
      <c r="G50" s="7" t="str">
        <f>IF(HKI!$I53&lt;4,"X","")</f>
        <v/>
      </c>
      <c r="H50" s="7" t="str">
        <f>IF(HKI!$M53&lt;4,"X","")</f>
        <v/>
      </c>
      <c r="I50" s="7" t="str">
        <f>IF(HKI!$Q53&lt;4,"X","")</f>
        <v/>
      </c>
      <c r="J50" s="7" t="str">
        <f>IF(HKI!$U53&lt;4,"X","")</f>
        <v/>
      </c>
      <c r="K50" s="7" t="str">
        <f>IF(HKI!$Y53&lt;4,"X","")</f>
        <v/>
      </c>
      <c r="L50" s="7" t="str">
        <f>IF(HKI!$AC53&lt;4,"X","")</f>
        <v/>
      </c>
      <c r="M50" s="7" t="str">
        <f>IF(HKI!$AG53&lt;4,"X","")</f>
        <v/>
      </c>
      <c r="N50" s="7" t="str">
        <f>IF(HKI!$AK53&lt;4,"X","")</f>
        <v/>
      </c>
      <c r="O50" s="7" t="str">
        <f>IF(HKI!$AO53&lt;4,"X","")</f>
        <v/>
      </c>
      <c r="P50" s="7" t="str">
        <f>IF(HKI!$AS53&lt;4,"X","")</f>
        <v/>
      </c>
      <c r="Q50" s="7" t="str">
        <f>IF(HKI!$AW53&lt;4,"X","")</f>
        <v/>
      </c>
      <c r="R50" s="7" t="str">
        <f>IF(HKI!$BA53&lt;4,"X","")</f>
        <v/>
      </c>
      <c r="S50" s="106"/>
      <c r="T50" s="106"/>
      <c r="AW50" s="106"/>
      <c r="AX50" s="106"/>
      <c r="AY50" s="106"/>
      <c r="AZ50" s="106"/>
      <c r="BA50" s="106"/>
      <c r="BB50" s="106"/>
      <c r="BC50" s="106"/>
      <c r="BD50" s="106"/>
    </row>
    <row r="51" spans="1:56" ht="18" customHeight="1">
      <c r="A51" s="123">
        <f>IF(B51="","",SUBTOTAL(3,$B$8:B51))</f>
        <v>44</v>
      </c>
      <c r="B51" s="215" t="str">
        <f>IF(HKI!$B54="","",HKI!B54)</f>
        <v>13D301Đ133</v>
      </c>
      <c r="C51" s="216" t="str">
        <f>IF(HKI!$B54="","",HKI!C54)</f>
        <v>Nguyễn Khắc</v>
      </c>
      <c r="D51" s="218" t="str">
        <f>IF(HKI!$B54="","",HKI!D54)</f>
        <v>Thành</v>
      </c>
      <c r="E51" s="207" t="str">
        <f t="shared" si="0"/>
        <v/>
      </c>
      <c r="F51" s="207" t="str">
        <f t="shared" si="1"/>
        <v/>
      </c>
      <c r="G51" s="7" t="str">
        <f>IF(HKI!$I54&lt;4,"X","")</f>
        <v/>
      </c>
      <c r="H51" s="7" t="str">
        <f>IF(HKI!$M54&lt;4,"X","")</f>
        <v/>
      </c>
      <c r="I51" s="7" t="str">
        <f>IF(HKI!$Q54&lt;4,"X","")</f>
        <v/>
      </c>
      <c r="J51" s="7" t="str">
        <f>IF(HKI!$U54&lt;4,"X","")</f>
        <v/>
      </c>
      <c r="K51" s="7" t="str">
        <f>IF(HKI!$Y54&lt;4,"X","")</f>
        <v/>
      </c>
      <c r="L51" s="7" t="str">
        <f>IF(HKI!$AC54&lt;4,"X","")</f>
        <v/>
      </c>
      <c r="M51" s="7" t="str">
        <f>IF(HKI!$AG54&lt;4,"X","")</f>
        <v/>
      </c>
      <c r="N51" s="7" t="str">
        <f>IF(HKI!$AK54&lt;4,"X","")</f>
        <v/>
      </c>
      <c r="O51" s="7" t="str">
        <f>IF(HKI!$AO54&lt;4,"X","")</f>
        <v/>
      </c>
      <c r="P51" s="7" t="str">
        <f>IF(HKI!$AS54&lt;4,"X","")</f>
        <v/>
      </c>
      <c r="Q51" s="7" t="str">
        <f>IF(HKI!$AW54&lt;4,"X","")</f>
        <v/>
      </c>
      <c r="R51" s="7" t="str">
        <f>IF(HKI!$BA54&lt;4,"X","")</f>
        <v/>
      </c>
      <c r="S51" s="106"/>
      <c r="T51" s="106"/>
      <c r="AW51" s="106"/>
      <c r="AX51" s="106"/>
      <c r="AY51" s="106"/>
      <c r="AZ51" s="106"/>
      <c r="BA51" s="106"/>
      <c r="BB51" s="106"/>
      <c r="BC51" s="106"/>
      <c r="BD51" s="106"/>
    </row>
    <row r="52" spans="1:56" ht="18" customHeight="1">
      <c r="A52" s="123">
        <f>IF(B52="","",SUBTOTAL(3,$B$8:B52))</f>
        <v>45</v>
      </c>
      <c r="B52" s="215" t="str">
        <f>IF(HKI!$B55="","",HKI!B55)</f>
        <v>13D301Đ169</v>
      </c>
      <c r="C52" s="216" t="str">
        <f>IF(HKI!$B55="","",HKI!C55)</f>
        <v>Nguyễn Thanh</v>
      </c>
      <c r="D52" s="218" t="str">
        <f>IF(HKI!$B55="","",HKI!D55)</f>
        <v>Thảo</v>
      </c>
      <c r="E52" s="207">
        <f t="shared" si="0"/>
        <v>1</v>
      </c>
      <c r="F52" s="207">
        <f t="shared" si="1"/>
        <v>3</v>
      </c>
      <c r="G52" s="7" t="str">
        <f>IF(HKI!$I55&lt;4,"X","")</f>
        <v/>
      </c>
      <c r="H52" s="7" t="str">
        <f>IF(HKI!$M55&lt;4,"X","")</f>
        <v/>
      </c>
      <c r="I52" s="7" t="str">
        <f>IF(HKI!$Q55&lt;4,"X","")</f>
        <v/>
      </c>
      <c r="J52" s="7" t="str">
        <f>IF(HKI!$U55&lt;4,"X","")</f>
        <v/>
      </c>
      <c r="K52" s="7" t="str">
        <f>IF(HKI!$Y55&lt;4,"X","")</f>
        <v>X</v>
      </c>
      <c r="L52" s="7" t="str">
        <f>IF(HKI!$AC55&lt;4,"X","")</f>
        <v/>
      </c>
      <c r="M52" s="7" t="str">
        <f>IF(HKI!$AG55&lt;4,"X","")</f>
        <v/>
      </c>
      <c r="N52" s="7" t="str">
        <f>IF(HKI!$AK55&lt;4,"X","")</f>
        <v/>
      </c>
      <c r="O52" s="7" t="str">
        <f>IF(HKI!$AO55&lt;4,"X","")</f>
        <v/>
      </c>
      <c r="P52" s="7" t="str">
        <f>IF(HKI!$AS55&lt;4,"X","")</f>
        <v/>
      </c>
      <c r="Q52" s="7" t="str">
        <f>IF(HKI!$AW55&lt;4,"X","")</f>
        <v/>
      </c>
      <c r="R52" s="7" t="str">
        <f>IF(HKI!$BA55&lt;4,"X","")</f>
        <v/>
      </c>
      <c r="S52" s="106"/>
      <c r="T52" s="106"/>
      <c r="AW52" s="106"/>
      <c r="AX52" s="106"/>
      <c r="AY52" s="106"/>
      <c r="AZ52" s="106"/>
      <c r="BA52" s="106"/>
      <c r="BB52" s="106"/>
      <c r="BC52" s="106"/>
      <c r="BD52" s="106"/>
    </row>
    <row r="53" spans="1:56" ht="18" customHeight="1">
      <c r="A53" s="123">
        <f>IF(B53="","",SUBTOTAL(3,$B$8:B53))</f>
        <v>46</v>
      </c>
      <c r="B53" s="215" t="str">
        <f>IF(HKI!$B56="","",HKI!B56)</f>
        <v>13D301Đ154</v>
      </c>
      <c r="C53" s="216" t="str">
        <f>IF(HKI!$B56="","",HKI!C56)</f>
        <v>Võ Đức</v>
      </c>
      <c r="D53" s="218" t="str">
        <f>IF(HKI!$B56="","",HKI!D56)</f>
        <v>Trí</v>
      </c>
      <c r="E53" s="207">
        <f t="shared" si="0"/>
        <v>1</v>
      </c>
      <c r="F53" s="207">
        <f t="shared" si="1"/>
        <v>3</v>
      </c>
      <c r="G53" s="7" t="str">
        <f>IF(HKI!$I56&lt;4,"X","")</f>
        <v/>
      </c>
      <c r="H53" s="7" t="str">
        <f>IF(HKI!$M56&lt;4,"X","")</f>
        <v/>
      </c>
      <c r="I53" s="7" t="str">
        <f>IF(HKI!$Q56&lt;4,"X","")</f>
        <v/>
      </c>
      <c r="J53" s="7" t="str">
        <f>IF(HKI!$U56&lt;4,"X","")</f>
        <v/>
      </c>
      <c r="K53" s="7" t="str">
        <f>IF(HKI!$Y56&lt;4,"X","")</f>
        <v>X</v>
      </c>
      <c r="L53" s="7" t="str">
        <f>IF(HKI!$AC56&lt;4,"X","")</f>
        <v/>
      </c>
      <c r="M53" s="7" t="str">
        <f>IF(HKI!$AG56&lt;4,"X","")</f>
        <v/>
      </c>
      <c r="N53" s="7" t="str">
        <f>IF(HKI!$AK56&lt;4,"X","")</f>
        <v/>
      </c>
      <c r="O53" s="7" t="str">
        <f>IF(HKI!$AO56&lt;4,"X","")</f>
        <v/>
      </c>
      <c r="P53" s="7" t="str">
        <f>IF(HKI!$AS56&lt;4,"X","")</f>
        <v/>
      </c>
      <c r="Q53" s="7" t="str">
        <f>IF(HKI!$AW56&lt;4,"X","")</f>
        <v/>
      </c>
      <c r="R53" s="7" t="str">
        <f>IF(HKI!$BA56&lt;4,"X","")</f>
        <v/>
      </c>
      <c r="S53" s="106"/>
      <c r="T53" s="106"/>
      <c r="AW53" s="106"/>
      <c r="AX53" s="106"/>
      <c r="AY53" s="106"/>
      <c r="AZ53" s="106"/>
      <c r="BA53" s="106"/>
      <c r="BB53" s="106"/>
      <c r="BC53" s="106"/>
      <c r="BD53" s="106"/>
    </row>
    <row r="54" spans="1:56" ht="18" customHeight="1">
      <c r="A54" s="123">
        <f>IF(B54="","",SUBTOTAL(3,$B$8:B54))</f>
        <v>47</v>
      </c>
      <c r="B54" s="215" t="str">
        <f>IF(HKI!$B57="","",HKI!B57)</f>
        <v>13D301Đ160</v>
      </c>
      <c r="C54" s="216" t="str">
        <f>IF(HKI!$B57="","",HKI!C57)</f>
        <v>Nguyễn Bá</v>
      </c>
      <c r="D54" s="218" t="str">
        <f>IF(HKI!$B57="","",HKI!D57)</f>
        <v>Trung</v>
      </c>
      <c r="E54" s="207" t="str">
        <f t="shared" si="0"/>
        <v/>
      </c>
      <c r="F54" s="207" t="str">
        <f t="shared" si="1"/>
        <v/>
      </c>
      <c r="G54" s="7" t="str">
        <f>IF(HKI!$I57&lt;4,"X","")</f>
        <v/>
      </c>
      <c r="H54" s="7" t="str">
        <f>IF(HKI!$M57&lt;4,"X","")</f>
        <v/>
      </c>
      <c r="I54" s="7" t="str">
        <f>IF(HKI!$Q57&lt;4,"X","")</f>
        <v/>
      </c>
      <c r="J54" s="7" t="str">
        <f>IF(HKI!$U57&lt;4,"X","")</f>
        <v/>
      </c>
      <c r="K54" s="7" t="str">
        <f>IF(HKI!$Y57&lt;4,"X","")</f>
        <v/>
      </c>
      <c r="L54" s="7" t="str">
        <f>IF(HKI!$AC57&lt;4,"X","")</f>
        <v/>
      </c>
      <c r="M54" s="7" t="str">
        <f>IF(HKI!$AG57&lt;4,"X","")</f>
        <v/>
      </c>
      <c r="N54" s="7" t="str">
        <f>IF(HKI!$AK57&lt;4,"X","")</f>
        <v/>
      </c>
      <c r="O54" s="7" t="str">
        <f>IF(HKI!$AO57&lt;4,"X","")</f>
        <v/>
      </c>
      <c r="P54" s="7" t="str">
        <f>IF(HKI!$AS57&lt;4,"X","")</f>
        <v/>
      </c>
      <c r="Q54" s="7" t="str">
        <f>IF(HKI!$AW57&lt;4,"X","")</f>
        <v/>
      </c>
      <c r="R54" s="7" t="str">
        <f>IF(HKI!$BA57&lt;4,"X","")</f>
        <v/>
      </c>
      <c r="S54" s="106"/>
      <c r="T54" s="106"/>
      <c r="AW54" s="106"/>
      <c r="AX54" s="106"/>
      <c r="AY54" s="106"/>
      <c r="AZ54" s="106"/>
      <c r="BA54" s="106"/>
      <c r="BB54" s="106"/>
      <c r="BC54" s="106"/>
      <c r="BD54" s="106"/>
    </row>
    <row r="55" spans="1:56" ht="18" customHeight="1">
      <c r="A55" s="123">
        <f>IF(B55="","",SUBTOTAL(3,$B$8:B55))</f>
        <v>48</v>
      </c>
      <c r="B55" s="215" t="str">
        <f>IF(HKI!$B58="","",HKI!B58)</f>
        <v>13D301Đ163</v>
      </c>
      <c r="C55" s="216" t="str">
        <f>IF(HKI!$B58="","",HKI!C58)</f>
        <v>Mai Ngọc</v>
      </c>
      <c r="D55" s="218" t="str">
        <f>IF(HKI!$B58="","",HKI!D58)</f>
        <v>Trước</v>
      </c>
      <c r="E55" s="207" t="str">
        <f t="shared" si="0"/>
        <v/>
      </c>
      <c r="F55" s="207" t="str">
        <f t="shared" si="1"/>
        <v/>
      </c>
      <c r="G55" s="7" t="str">
        <f>IF(HKI!$I58&lt;4,"X","")</f>
        <v/>
      </c>
      <c r="H55" s="7" t="str">
        <f>IF(HKI!$M58&lt;4,"X","")</f>
        <v/>
      </c>
      <c r="I55" s="7" t="str">
        <f>IF(HKI!$Q58&lt;4,"X","")</f>
        <v/>
      </c>
      <c r="J55" s="7" t="str">
        <f>IF(HKI!$U58&lt;4,"X","")</f>
        <v/>
      </c>
      <c r="K55" s="7" t="str">
        <f>IF(HKI!$Y58&lt;4,"X","")</f>
        <v/>
      </c>
      <c r="L55" s="7" t="str">
        <f>IF(HKI!$AC58&lt;4,"X","")</f>
        <v/>
      </c>
      <c r="M55" s="7" t="str">
        <f>IF(HKI!$AG58&lt;4,"X","")</f>
        <v/>
      </c>
      <c r="N55" s="7" t="str">
        <f>IF(HKI!$AK58&lt;4,"X","")</f>
        <v/>
      </c>
      <c r="O55" s="7" t="str">
        <f>IF(HKI!$AO58&lt;4,"X","")</f>
        <v/>
      </c>
      <c r="P55" s="7" t="str">
        <f>IF(HKI!$AS58&lt;4,"X","")</f>
        <v/>
      </c>
      <c r="Q55" s="7" t="str">
        <f>IF(HKI!$AW58&lt;4,"X","")</f>
        <v/>
      </c>
      <c r="R55" s="7" t="str">
        <f>IF(HKI!$BA58&lt;4,"X","")</f>
        <v/>
      </c>
      <c r="S55" s="106"/>
      <c r="T55" s="106"/>
      <c r="AW55" s="106"/>
      <c r="AX55" s="106"/>
      <c r="AY55" s="106"/>
      <c r="AZ55" s="106"/>
      <c r="BA55" s="106"/>
      <c r="BB55" s="106"/>
      <c r="BC55" s="106"/>
      <c r="BD55" s="106"/>
    </row>
    <row r="56" spans="1:56" ht="18" customHeight="1">
      <c r="A56" s="123">
        <f>IF(B56="","",SUBTOTAL(3,$B$8:B56))</f>
        <v>49</v>
      </c>
      <c r="B56" s="215" t="str">
        <f>IF(HKI!$B59="","",HKI!B59)</f>
        <v>13D301Đ166</v>
      </c>
      <c r="C56" s="216" t="str">
        <f>IF(HKI!$B59="","",HKI!C59)</f>
        <v>Nguyễn Văn</v>
      </c>
      <c r="D56" s="218" t="str">
        <f>IF(HKI!$B59="","",HKI!D59)</f>
        <v>Tư</v>
      </c>
      <c r="E56" s="207">
        <f t="shared" si="0"/>
        <v>8</v>
      </c>
      <c r="F56" s="207">
        <f t="shared" si="1"/>
        <v>18</v>
      </c>
      <c r="G56" s="7" t="str">
        <f>IF(HKI!$I59&lt;4,"X","")</f>
        <v>X</v>
      </c>
      <c r="H56" s="7" t="str">
        <f>IF(HKI!$M59&lt;4,"X","")</f>
        <v>X</v>
      </c>
      <c r="I56" s="7" t="str">
        <f>IF(HKI!$Q59&lt;4,"X","")</f>
        <v>X</v>
      </c>
      <c r="J56" s="7" t="str">
        <f>IF(HKI!$U59&lt;4,"X","")</f>
        <v>X</v>
      </c>
      <c r="K56" s="7" t="str">
        <f>IF(HKI!$Y59&lt;4,"X","")</f>
        <v>X</v>
      </c>
      <c r="L56" s="7" t="str">
        <f>IF(HKI!$AC59&lt;4,"X","")</f>
        <v/>
      </c>
      <c r="M56" s="7" t="str">
        <f>IF(HKI!$AG59&lt;4,"X","")</f>
        <v/>
      </c>
      <c r="N56" s="7" t="str">
        <f>IF(HKI!$AK59&lt;4,"X","")</f>
        <v/>
      </c>
      <c r="O56" s="7" t="str">
        <f>IF(HKI!$AO59&lt;4,"X","")</f>
        <v/>
      </c>
      <c r="P56" s="7" t="str">
        <f>IF(HKI!$AS59&lt;4,"X","")</f>
        <v>X</v>
      </c>
      <c r="Q56" s="7" t="str">
        <f>IF(HKI!$AW59&lt;4,"X","")</f>
        <v>X</v>
      </c>
      <c r="R56" s="7" t="str">
        <f>IF(HKI!$BA59&lt;4,"X","")</f>
        <v>X</v>
      </c>
      <c r="S56" s="106"/>
      <c r="T56" s="106"/>
      <c r="AW56" s="106"/>
      <c r="AX56" s="106"/>
      <c r="AY56" s="106"/>
      <c r="AZ56" s="106"/>
      <c r="BA56" s="106"/>
      <c r="BB56" s="106"/>
      <c r="BC56" s="106"/>
      <c r="BD56" s="106"/>
    </row>
    <row r="57" spans="1:56" ht="18" customHeight="1">
      <c r="A57" s="123">
        <f>IF(B57="","",SUBTOTAL(3,$B$8:B57))</f>
        <v>50</v>
      </c>
      <c r="B57" s="215" t="str">
        <f>IF(HKI!$B60="","",HKI!B60)</f>
        <v>13D301Đ178</v>
      </c>
      <c r="C57" s="216" t="str">
        <f>IF(HKI!$B60="","",HKI!C60)</f>
        <v>Lê Văn</v>
      </c>
      <c r="D57" s="218" t="str">
        <f>IF(HKI!$B60="","",HKI!D60)</f>
        <v>Vũ</v>
      </c>
      <c r="E57" s="207">
        <f t="shared" si="0"/>
        <v>8</v>
      </c>
      <c r="F57" s="207">
        <f t="shared" si="1"/>
        <v>18</v>
      </c>
      <c r="G57" s="7" t="str">
        <f>IF(HKI!$I60&lt;4,"X","")</f>
        <v>X</v>
      </c>
      <c r="H57" s="7" t="str">
        <f>IF(HKI!$M60&lt;4,"X","")</f>
        <v>X</v>
      </c>
      <c r="I57" s="7" t="str">
        <f>IF(HKI!$Q60&lt;4,"X","")</f>
        <v>X</v>
      </c>
      <c r="J57" s="7" t="str">
        <f>IF(HKI!$U60&lt;4,"X","")</f>
        <v>X</v>
      </c>
      <c r="K57" s="7" t="str">
        <f>IF(HKI!$Y60&lt;4,"X","")</f>
        <v>X</v>
      </c>
      <c r="L57" s="7" t="str">
        <f>IF(HKI!$AC60&lt;4,"X","")</f>
        <v/>
      </c>
      <c r="M57" s="7" t="str">
        <f>IF(HKI!$AG60&lt;4,"X","")</f>
        <v/>
      </c>
      <c r="N57" s="7" t="str">
        <f>IF(HKI!$AK60&lt;4,"X","")</f>
        <v/>
      </c>
      <c r="O57" s="7" t="str">
        <f>IF(HKI!$AO60&lt;4,"X","")</f>
        <v/>
      </c>
      <c r="P57" s="7" t="str">
        <f>IF(HKI!$AS60&lt;4,"X","")</f>
        <v>X</v>
      </c>
      <c r="Q57" s="7" t="str">
        <f>IF(HKI!$AW60&lt;4,"X","")</f>
        <v>X</v>
      </c>
      <c r="R57" s="7" t="str">
        <f>IF(HKI!$BA60&lt;4,"X","")</f>
        <v>X</v>
      </c>
      <c r="S57" s="106"/>
      <c r="T57" s="106"/>
      <c r="AW57" s="106"/>
      <c r="AX57" s="106"/>
      <c r="AY57" s="106"/>
      <c r="AZ57" s="106"/>
      <c r="BA57" s="106"/>
      <c r="BB57" s="106"/>
      <c r="BC57" s="106"/>
      <c r="BD57" s="106"/>
    </row>
    <row r="58" spans="1:56" ht="18" customHeight="1">
      <c r="A58" s="123" t="str">
        <f>IF(B58="","",SUBTOTAL(3,$B$8:B58))</f>
        <v/>
      </c>
      <c r="B58" s="215" t="str">
        <f>IF(HKI!$B61="","",HKI!B61)</f>
        <v/>
      </c>
      <c r="C58" s="216" t="str">
        <f>IF(HKI!$B61="","",HKI!C61)</f>
        <v/>
      </c>
      <c r="D58" s="218" t="str">
        <f>IF(HKI!$B61="","",HKI!D61)</f>
        <v/>
      </c>
      <c r="E58" s="207" t="str">
        <f t="shared" si="0"/>
        <v/>
      </c>
      <c r="F58" s="207" t="str">
        <f t="shared" si="1"/>
        <v/>
      </c>
      <c r="G58" s="7" t="str">
        <f>IF(HKI!$I61&lt;4,"X","")</f>
        <v/>
      </c>
      <c r="H58" s="7" t="str">
        <f>IF(HKI!$M61&lt;4,"X","")</f>
        <v/>
      </c>
      <c r="I58" s="7" t="str">
        <f>IF(HKI!$Q61&lt;4,"X","")</f>
        <v/>
      </c>
      <c r="J58" s="7" t="str">
        <f>IF(HKI!$U61&lt;4,"X","")</f>
        <v/>
      </c>
      <c r="K58" s="7" t="str">
        <f>IF(HKI!$Y61&lt;4,"X","")</f>
        <v/>
      </c>
      <c r="L58" s="7" t="str">
        <f>IF(HKI!$AC61&lt;4,"X","")</f>
        <v/>
      </c>
      <c r="M58" s="7" t="str">
        <f>IF(HKI!$AG61&lt;4,"X","")</f>
        <v/>
      </c>
      <c r="N58" s="7" t="str">
        <f>IF(HKI!$AK61&lt;4,"X","")</f>
        <v/>
      </c>
      <c r="O58" s="7" t="str">
        <f>IF(HKI!$AO61&lt;4,"X","")</f>
        <v/>
      </c>
      <c r="P58" s="7" t="str">
        <f>IF(HKI!$AS61&lt;4,"X","")</f>
        <v/>
      </c>
      <c r="Q58" s="7" t="str">
        <f>IF(HKI!$AW61&lt;4,"X","")</f>
        <v/>
      </c>
      <c r="R58" s="7" t="str">
        <f>IF(HKI!$BA61&lt;4,"X","")</f>
        <v/>
      </c>
      <c r="S58" s="106"/>
      <c r="T58" s="106"/>
      <c r="AW58" s="106"/>
      <c r="AX58" s="106"/>
      <c r="AY58" s="106"/>
      <c r="AZ58" s="106"/>
      <c r="BA58" s="106"/>
      <c r="BB58" s="106"/>
      <c r="BC58" s="106"/>
      <c r="BD58" s="106"/>
    </row>
    <row r="59" spans="1:56" ht="18" customHeight="1">
      <c r="A59" s="123" t="str">
        <f>IF(B59="","",SUBTOTAL(3,$B$8:B59))</f>
        <v/>
      </c>
      <c r="B59" s="215" t="str">
        <f>IF(HKI!$B62="","",HKI!B62)</f>
        <v/>
      </c>
      <c r="C59" s="216" t="str">
        <f>IF(HKI!$B62="","",HKI!C62)</f>
        <v/>
      </c>
      <c r="D59" s="218" t="str">
        <f>IF(HKI!$B62="","",HKI!D62)</f>
        <v/>
      </c>
      <c r="E59" s="207" t="str">
        <f t="shared" si="0"/>
        <v/>
      </c>
      <c r="F59" s="207" t="str">
        <f t="shared" si="1"/>
        <v/>
      </c>
      <c r="G59" s="7" t="str">
        <f>IF(HKI!$I62&lt;4,"X","")</f>
        <v/>
      </c>
      <c r="H59" s="7" t="str">
        <f>IF(HKI!$M62&lt;4,"X","")</f>
        <v/>
      </c>
      <c r="I59" s="7" t="str">
        <f>IF(HKI!$Q62&lt;4,"X","")</f>
        <v/>
      </c>
      <c r="J59" s="7" t="str">
        <f>IF(HKI!$U62&lt;4,"X","")</f>
        <v/>
      </c>
      <c r="K59" s="7" t="str">
        <f>IF(HKI!$Y62&lt;4,"X","")</f>
        <v/>
      </c>
      <c r="L59" s="7" t="str">
        <f>IF(HKI!$AC62&lt;4,"X","")</f>
        <v/>
      </c>
      <c r="M59" s="7" t="str">
        <f>IF(HKI!$AG62&lt;4,"X","")</f>
        <v/>
      </c>
      <c r="N59" s="7" t="str">
        <f>IF(HKI!$AK62&lt;4,"X","")</f>
        <v/>
      </c>
      <c r="O59" s="7" t="str">
        <f>IF(HKI!$AO62&lt;4,"X","")</f>
        <v/>
      </c>
      <c r="P59" s="7" t="str">
        <f>IF(HKI!$AS62&lt;4,"X","")</f>
        <v/>
      </c>
      <c r="Q59" s="7" t="str">
        <f>IF(HKI!$AW62&lt;4,"X","")</f>
        <v/>
      </c>
      <c r="R59" s="7" t="str">
        <f>IF(HKI!$BA62&lt;4,"X","")</f>
        <v/>
      </c>
      <c r="S59" s="106"/>
      <c r="T59" s="106"/>
      <c r="AW59" s="106"/>
      <c r="AX59" s="106"/>
      <c r="AY59" s="106"/>
      <c r="AZ59" s="106"/>
      <c r="BA59" s="106"/>
      <c r="BB59" s="106"/>
      <c r="BC59" s="106"/>
      <c r="BD59" s="106"/>
    </row>
    <row r="60" spans="1:56" ht="18" customHeight="1">
      <c r="A60" s="123" t="str">
        <f>IF(B60="","",SUBTOTAL(3,$B$8:B60))</f>
        <v/>
      </c>
      <c r="B60" s="215" t="str">
        <f>IF(HKI!$B63="","",HKI!B63)</f>
        <v/>
      </c>
      <c r="C60" s="216" t="str">
        <f>IF(HKI!$B63="","",HKI!C63)</f>
        <v/>
      </c>
      <c r="D60" s="218" t="str">
        <f>IF(HKI!$B63="","",HKI!D63)</f>
        <v/>
      </c>
      <c r="E60" s="207" t="str">
        <f t="shared" si="0"/>
        <v/>
      </c>
      <c r="F60" s="207" t="str">
        <f t="shared" si="1"/>
        <v/>
      </c>
      <c r="G60" s="7" t="str">
        <f>IF(HKI!$I63&lt;4,"X","")</f>
        <v/>
      </c>
      <c r="H60" s="7" t="str">
        <f>IF(HKI!$M63&lt;4,"X","")</f>
        <v/>
      </c>
      <c r="I60" s="7" t="str">
        <f>IF(HKI!$Q63&lt;4,"X","")</f>
        <v/>
      </c>
      <c r="J60" s="7" t="str">
        <f>IF(HKI!$U63&lt;4,"X","")</f>
        <v/>
      </c>
      <c r="K60" s="7" t="str">
        <f>IF(HKI!$Y63&lt;4,"X","")</f>
        <v/>
      </c>
      <c r="L60" s="7" t="str">
        <f>IF(HKI!$AC63&lt;4,"X","")</f>
        <v/>
      </c>
      <c r="M60" s="7" t="str">
        <f>IF(HKI!$AG63&lt;4,"X","")</f>
        <v/>
      </c>
      <c r="N60" s="7" t="str">
        <f>IF(HKI!$AK63&lt;4,"X","")</f>
        <v/>
      </c>
      <c r="O60" s="7" t="str">
        <f>IF(HKI!$AO63&lt;4,"X","")</f>
        <v/>
      </c>
      <c r="P60" s="7" t="str">
        <f>IF(HKI!$AS63&lt;4,"X","")</f>
        <v/>
      </c>
      <c r="Q60" s="7" t="str">
        <f>IF(HKI!$AW63&lt;4,"X","")</f>
        <v/>
      </c>
      <c r="R60" s="7" t="str">
        <f>IF(HKI!$BA63&lt;4,"X","")</f>
        <v/>
      </c>
      <c r="S60" s="106"/>
      <c r="T60" s="106"/>
      <c r="AW60" s="106"/>
      <c r="AX60" s="106"/>
      <c r="AY60" s="106"/>
      <c r="AZ60" s="106"/>
      <c r="BA60" s="106"/>
      <c r="BB60" s="106"/>
      <c r="BC60" s="106"/>
      <c r="BD60" s="106"/>
    </row>
    <row r="61" spans="1:56" ht="18" customHeight="1">
      <c r="A61" s="123" t="str">
        <f>IF(B61="","",SUBTOTAL(3,$B$8:B61))</f>
        <v/>
      </c>
      <c r="B61" s="215" t="str">
        <f>IF(HKI!$B64="","",HKI!B64)</f>
        <v/>
      </c>
      <c r="C61" s="216" t="str">
        <f>IF(HKI!$B64="","",HKI!C64)</f>
        <v/>
      </c>
      <c r="D61" s="218" t="str">
        <f>IF(HKI!$B64="","",HKI!D64)</f>
        <v/>
      </c>
      <c r="E61" s="207" t="str">
        <f t="shared" si="0"/>
        <v/>
      </c>
      <c r="F61" s="207" t="str">
        <f t="shared" si="1"/>
        <v/>
      </c>
      <c r="G61" s="7" t="str">
        <f>IF(HKI!$I64&lt;4,"X","")</f>
        <v/>
      </c>
      <c r="H61" s="7" t="str">
        <f>IF(HKI!$M64&lt;4,"X","")</f>
        <v/>
      </c>
      <c r="I61" s="7" t="str">
        <f>IF(HKI!$Q64&lt;4,"X","")</f>
        <v/>
      </c>
      <c r="J61" s="7" t="str">
        <f>IF(HKI!$U64&lt;4,"X","")</f>
        <v/>
      </c>
      <c r="K61" s="7" t="str">
        <f>IF(HKI!$Y64&lt;4,"X","")</f>
        <v/>
      </c>
      <c r="L61" s="7" t="str">
        <f>IF(HKI!$AC64&lt;4,"X","")</f>
        <v/>
      </c>
      <c r="M61" s="7" t="str">
        <f>IF(HKI!$AG64&lt;4,"X","")</f>
        <v/>
      </c>
      <c r="N61" s="7" t="str">
        <f>IF(HKI!$AK64&lt;4,"X","")</f>
        <v/>
      </c>
      <c r="O61" s="7" t="str">
        <f>IF(HKI!$AO64&lt;4,"X","")</f>
        <v/>
      </c>
      <c r="P61" s="7" t="str">
        <f>IF(HKI!$AS64&lt;4,"X","")</f>
        <v/>
      </c>
      <c r="Q61" s="7" t="str">
        <f>IF(HKI!$AW64&lt;4,"X","")</f>
        <v/>
      </c>
      <c r="R61" s="7" t="str">
        <f>IF(HKI!$BA64&lt;4,"X","")</f>
        <v/>
      </c>
      <c r="S61" s="106"/>
      <c r="T61" s="106"/>
      <c r="AW61" s="106"/>
      <c r="AX61" s="106"/>
      <c r="AY61" s="106"/>
      <c r="AZ61" s="106"/>
      <c r="BA61" s="106"/>
      <c r="BB61" s="106"/>
      <c r="BC61" s="106"/>
      <c r="BD61" s="106"/>
    </row>
    <row r="62" spans="1:56" ht="18" customHeight="1">
      <c r="A62" s="123" t="str">
        <f>IF(B62="","",SUBTOTAL(3,$B$8:B62))</f>
        <v/>
      </c>
      <c r="B62" s="215" t="str">
        <f>IF(HKI!$B65="","",HKI!B65)</f>
        <v/>
      </c>
      <c r="C62" s="216" t="str">
        <f>IF(HKI!$B65="","",HKI!C65)</f>
        <v/>
      </c>
      <c r="D62" s="218" t="str">
        <f>IF(HKI!$B65="","",HKI!D65)</f>
        <v/>
      </c>
      <c r="E62" s="207" t="str">
        <f t="shared" si="0"/>
        <v/>
      </c>
      <c r="F62" s="207" t="str">
        <f t="shared" si="1"/>
        <v/>
      </c>
      <c r="G62" s="7" t="str">
        <f>IF(HKI!$I65&lt;4,"X","")</f>
        <v/>
      </c>
      <c r="H62" s="7" t="str">
        <f>IF(HKI!$M65&lt;4,"X","")</f>
        <v/>
      </c>
      <c r="I62" s="7" t="str">
        <f>IF(HKI!$Q65&lt;4,"X","")</f>
        <v/>
      </c>
      <c r="J62" s="7" t="str">
        <f>IF(HKI!$U65&lt;4,"X","")</f>
        <v/>
      </c>
      <c r="K62" s="7" t="str">
        <f>IF(HKI!$Y65&lt;4,"X","")</f>
        <v/>
      </c>
      <c r="L62" s="7" t="str">
        <f>IF(HKI!$AC65&lt;4,"X","")</f>
        <v/>
      </c>
      <c r="M62" s="7" t="str">
        <f>IF(HKI!$AG65&lt;4,"X","")</f>
        <v/>
      </c>
      <c r="N62" s="7" t="str">
        <f>IF(HKI!$AK65&lt;4,"X","")</f>
        <v/>
      </c>
      <c r="O62" s="7" t="str">
        <f>IF(HKI!$AO65&lt;4,"X","")</f>
        <v/>
      </c>
      <c r="P62" s="7" t="str">
        <f>IF(HKI!$AS65&lt;4,"X","")</f>
        <v/>
      </c>
      <c r="Q62" s="7" t="str">
        <f>IF(HKI!$AW65&lt;4,"X","")</f>
        <v/>
      </c>
      <c r="R62" s="7" t="str">
        <f>IF(HKI!$BA65&lt;4,"X","")</f>
        <v/>
      </c>
      <c r="S62" s="106"/>
      <c r="T62" s="106"/>
      <c r="AW62" s="106"/>
      <c r="AX62" s="106"/>
      <c r="AY62" s="106"/>
      <c r="AZ62" s="106"/>
      <c r="BA62" s="106"/>
      <c r="BB62" s="106"/>
      <c r="BC62" s="106"/>
      <c r="BD62" s="106"/>
    </row>
    <row r="63" spans="1:56" ht="18" customHeight="1">
      <c r="A63" s="123" t="str">
        <f>IF(B63="","",SUBTOTAL(3,$B$8:B63))</f>
        <v/>
      </c>
      <c r="B63" s="215" t="str">
        <f>IF(HKI!$B66="","",HKI!B66)</f>
        <v/>
      </c>
      <c r="C63" s="216" t="str">
        <f>IF(HKI!$B66="","",HKI!C66)</f>
        <v/>
      </c>
      <c r="D63" s="218" t="str">
        <f>IF(HKI!$B66="","",HKI!D66)</f>
        <v/>
      </c>
      <c r="E63" s="207" t="str">
        <f t="shared" si="0"/>
        <v/>
      </c>
      <c r="F63" s="207" t="str">
        <f t="shared" si="1"/>
        <v/>
      </c>
      <c r="G63" s="7" t="str">
        <f>IF(HKI!$I66&lt;4,"X","")</f>
        <v/>
      </c>
      <c r="H63" s="7" t="str">
        <f>IF(HKI!$M66&lt;4,"X","")</f>
        <v/>
      </c>
      <c r="I63" s="7" t="str">
        <f>IF(HKI!$Q66&lt;4,"X","")</f>
        <v/>
      </c>
      <c r="J63" s="7" t="str">
        <f>IF(HKI!$U66&lt;4,"X","")</f>
        <v/>
      </c>
      <c r="K63" s="7" t="str">
        <f>IF(HKI!$Y66&lt;4,"X","")</f>
        <v/>
      </c>
      <c r="L63" s="7" t="str">
        <f>IF(HKI!$AC66&lt;4,"X","")</f>
        <v/>
      </c>
      <c r="M63" s="7" t="str">
        <f>IF(HKI!$AG66&lt;4,"X","")</f>
        <v/>
      </c>
      <c r="N63" s="7" t="str">
        <f>IF(HKI!$AK66&lt;4,"X","")</f>
        <v/>
      </c>
      <c r="O63" s="7" t="str">
        <f>IF(HKI!$AO66&lt;4,"X","")</f>
        <v/>
      </c>
      <c r="P63" s="7" t="str">
        <f>IF(HKI!$AS66&lt;4,"X","")</f>
        <v/>
      </c>
      <c r="Q63" s="7" t="str">
        <f>IF(HKI!$AW66&lt;4,"X","")</f>
        <v/>
      </c>
      <c r="R63" s="7" t="str">
        <f>IF(HKI!$BA66&lt;4,"X","")</f>
        <v/>
      </c>
      <c r="S63" s="106"/>
      <c r="T63" s="106"/>
      <c r="AW63" s="106"/>
      <c r="AX63" s="106"/>
      <c r="AY63" s="106"/>
      <c r="AZ63" s="106"/>
      <c r="BA63" s="106"/>
      <c r="BB63" s="106"/>
      <c r="BC63" s="106"/>
      <c r="BD63" s="106"/>
    </row>
    <row r="64" spans="1:56" ht="18" customHeight="1">
      <c r="A64" s="123" t="str">
        <f>IF(B64="","",SUBTOTAL(3,$B$8:B64))</f>
        <v/>
      </c>
      <c r="B64" s="215" t="str">
        <f>IF(HKI!$B67="","",HKI!B67)</f>
        <v/>
      </c>
      <c r="C64" s="216" t="str">
        <f>IF(HKI!$B67="","",HKI!C67)</f>
        <v/>
      </c>
      <c r="D64" s="218" t="str">
        <f>IF(HKI!$B67="","",HKI!D67)</f>
        <v/>
      </c>
      <c r="E64" s="207" t="str">
        <f t="shared" si="0"/>
        <v/>
      </c>
      <c r="F64" s="207" t="str">
        <f t="shared" si="1"/>
        <v/>
      </c>
      <c r="G64" s="7" t="str">
        <f>IF(HKI!$I67&lt;4,"X","")</f>
        <v/>
      </c>
      <c r="H64" s="7" t="str">
        <f>IF(HKI!$M67&lt;4,"X","")</f>
        <v/>
      </c>
      <c r="I64" s="7" t="str">
        <f>IF(HKI!$Q67&lt;4,"X","")</f>
        <v/>
      </c>
      <c r="J64" s="7" t="str">
        <f>IF(HKI!$U67&lt;4,"X","")</f>
        <v/>
      </c>
      <c r="K64" s="7" t="str">
        <f>IF(HKI!$Y67&lt;4,"X","")</f>
        <v/>
      </c>
      <c r="L64" s="7" t="str">
        <f>IF(HKI!$AC67&lt;4,"X","")</f>
        <v/>
      </c>
      <c r="M64" s="7" t="str">
        <f>IF(HKI!$AG67&lt;4,"X","")</f>
        <v/>
      </c>
      <c r="N64" s="7" t="str">
        <f>IF(HKI!$AK67&lt;4,"X","")</f>
        <v/>
      </c>
      <c r="O64" s="7" t="str">
        <f>IF(HKI!$AO67&lt;4,"X","")</f>
        <v/>
      </c>
      <c r="P64" s="7" t="str">
        <f>IF(HKI!$AS67&lt;4,"X","")</f>
        <v/>
      </c>
      <c r="Q64" s="7" t="str">
        <f>IF(HKI!$AW67&lt;4,"X","")</f>
        <v/>
      </c>
      <c r="R64" s="7" t="str">
        <f>IF(HKI!$BA67&lt;4,"X","")</f>
        <v/>
      </c>
      <c r="S64" s="106"/>
      <c r="T64" s="106"/>
      <c r="AW64" s="106"/>
      <c r="AX64" s="106"/>
      <c r="AY64" s="106"/>
      <c r="AZ64" s="106"/>
      <c r="BA64" s="106"/>
      <c r="BB64" s="106"/>
      <c r="BC64" s="106"/>
      <c r="BD64" s="106"/>
    </row>
    <row r="65" spans="1:56" ht="18" customHeight="1">
      <c r="A65" s="123" t="str">
        <f>IF(B65="","",SUBTOTAL(3,$B$8:B65))</f>
        <v/>
      </c>
      <c r="B65" s="215" t="str">
        <f>IF(HKI!$B68="","",HKI!B68)</f>
        <v/>
      </c>
      <c r="C65" s="216" t="str">
        <f>IF(HKI!$B68="","",HKI!C68)</f>
        <v/>
      </c>
      <c r="D65" s="218" t="str">
        <f>IF(HKI!$B68="","",HKI!D68)</f>
        <v/>
      </c>
      <c r="E65" s="207" t="str">
        <f t="shared" si="0"/>
        <v/>
      </c>
      <c r="F65" s="207" t="str">
        <f t="shared" si="1"/>
        <v/>
      </c>
      <c r="G65" s="7" t="str">
        <f>IF(HKI!$I68&lt;4,"X","")</f>
        <v/>
      </c>
      <c r="H65" s="7" t="str">
        <f>IF(HKI!$M68&lt;4,"X","")</f>
        <v/>
      </c>
      <c r="I65" s="7" t="str">
        <f>IF(HKI!$Q68&lt;4,"X","")</f>
        <v/>
      </c>
      <c r="J65" s="7" t="str">
        <f>IF(HKI!$U68&lt;4,"X","")</f>
        <v/>
      </c>
      <c r="K65" s="7" t="str">
        <f>IF(HKI!$Y68&lt;4,"X","")</f>
        <v/>
      </c>
      <c r="L65" s="7" t="str">
        <f>IF(HKI!$AC68&lt;4,"X","")</f>
        <v/>
      </c>
      <c r="M65" s="7" t="str">
        <f>IF(HKI!$AG68&lt;4,"X","")</f>
        <v/>
      </c>
      <c r="N65" s="7" t="str">
        <f>IF(HKI!$AK68&lt;4,"X","")</f>
        <v/>
      </c>
      <c r="O65" s="7" t="str">
        <f>IF(HKI!$AO68&lt;4,"X","")</f>
        <v/>
      </c>
      <c r="P65" s="7" t="str">
        <f>IF(HKI!$AS68&lt;4,"X","")</f>
        <v/>
      </c>
      <c r="Q65" s="7" t="str">
        <f>IF(HKI!$AW68&lt;4,"X","")</f>
        <v/>
      </c>
      <c r="R65" s="7" t="str">
        <f>IF(HKI!$BA68&lt;4,"X","")</f>
        <v/>
      </c>
      <c r="S65" s="106"/>
      <c r="T65" s="106"/>
      <c r="AW65" s="106"/>
      <c r="AX65" s="106"/>
      <c r="AY65" s="106"/>
      <c r="AZ65" s="106"/>
      <c r="BA65" s="106"/>
      <c r="BB65" s="106"/>
      <c r="BC65" s="106"/>
      <c r="BD65" s="106"/>
    </row>
    <row r="66" spans="1:56" ht="18" customHeight="1">
      <c r="A66" s="123" t="str">
        <f>IF(B66="","",SUBTOTAL(3,$B$8:B66))</f>
        <v/>
      </c>
      <c r="B66" s="215" t="str">
        <f>IF(HKI!$B69="","",HKI!B69)</f>
        <v/>
      </c>
      <c r="C66" s="216" t="str">
        <f>IF(HKI!$B69="","",HKI!C69)</f>
        <v/>
      </c>
      <c r="D66" s="218" t="str">
        <f>IF(HKI!$B69="","",HKI!D69)</f>
        <v/>
      </c>
      <c r="E66" s="207" t="str">
        <f t="shared" si="0"/>
        <v/>
      </c>
      <c r="F66" s="207" t="str">
        <f t="shared" si="1"/>
        <v/>
      </c>
      <c r="G66" s="7" t="str">
        <f>IF(HKI!$I69&lt;4,"X","")</f>
        <v/>
      </c>
      <c r="H66" s="7" t="str">
        <f>IF(HKI!$M69&lt;4,"X","")</f>
        <v/>
      </c>
      <c r="I66" s="7" t="str">
        <f>IF(HKI!$Q69&lt;4,"X","")</f>
        <v/>
      </c>
      <c r="J66" s="7" t="str">
        <f>IF(HKI!$U69&lt;4,"X","")</f>
        <v/>
      </c>
      <c r="K66" s="7" t="str">
        <f>IF(HKI!$Y69&lt;4,"X","")</f>
        <v/>
      </c>
      <c r="L66" s="7" t="str">
        <f>IF(HKI!$AC69&lt;4,"X","")</f>
        <v/>
      </c>
      <c r="M66" s="7" t="str">
        <f>IF(HKI!$AG69&lt;4,"X","")</f>
        <v/>
      </c>
      <c r="N66" s="7" t="str">
        <f>IF(HKI!$AK69&lt;4,"X","")</f>
        <v/>
      </c>
      <c r="O66" s="7" t="str">
        <f>IF(HKI!$AO69&lt;4,"X","")</f>
        <v/>
      </c>
      <c r="P66" s="7" t="str">
        <f>IF(HKI!$AS69&lt;4,"X","")</f>
        <v/>
      </c>
      <c r="Q66" s="7" t="str">
        <f>IF(HKI!$AW69&lt;4,"X","")</f>
        <v/>
      </c>
      <c r="R66" s="7" t="str">
        <f>IF(HKI!$BA69&lt;4,"X","")</f>
        <v/>
      </c>
      <c r="S66" s="106"/>
      <c r="T66" s="106"/>
      <c r="AW66" s="106"/>
      <c r="AX66" s="106"/>
      <c r="AY66" s="106"/>
      <c r="AZ66" s="106"/>
      <c r="BA66" s="106"/>
      <c r="BB66" s="106"/>
      <c r="BC66" s="106"/>
      <c r="BD66" s="106"/>
    </row>
    <row r="67" spans="1:56" ht="18" customHeight="1">
      <c r="A67" s="123" t="str">
        <f>IF(B67="","",SUBTOTAL(3,$B$8:B67))</f>
        <v/>
      </c>
      <c r="B67" s="215" t="str">
        <f>IF(HKI!$B70="","",HKI!B70)</f>
        <v/>
      </c>
      <c r="C67" s="216" t="str">
        <f>IF(HKI!$B70="","",HKI!C70)</f>
        <v/>
      </c>
      <c r="D67" s="218" t="str">
        <f>IF(HKI!$B70="","",HKI!D70)</f>
        <v/>
      </c>
      <c r="E67" s="207" t="str">
        <f t="shared" si="0"/>
        <v/>
      </c>
      <c r="F67" s="207" t="str">
        <f t="shared" si="1"/>
        <v/>
      </c>
      <c r="G67" s="7" t="str">
        <f>IF(HKI!$I70&lt;4,"X","")</f>
        <v/>
      </c>
      <c r="H67" s="7" t="str">
        <f>IF(HKI!$M70&lt;4,"X","")</f>
        <v/>
      </c>
      <c r="I67" s="7" t="str">
        <f>IF(HKI!$Q70&lt;4,"X","")</f>
        <v/>
      </c>
      <c r="J67" s="7" t="str">
        <f>IF(HKI!$U70&lt;4,"X","")</f>
        <v/>
      </c>
      <c r="K67" s="7" t="str">
        <f>IF(HKI!$Y70&lt;4,"X","")</f>
        <v/>
      </c>
      <c r="L67" s="7" t="str">
        <f>IF(HKI!$AC70&lt;4,"X","")</f>
        <v/>
      </c>
      <c r="M67" s="7" t="str">
        <f>IF(HKI!$AG70&lt;4,"X","")</f>
        <v/>
      </c>
      <c r="N67" s="7" t="str">
        <f>IF(HKI!$AK70&lt;4,"X","")</f>
        <v/>
      </c>
      <c r="O67" s="7" t="str">
        <f>IF(HKI!$AO70&lt;4,"X","")</f>
        <v/>
      </c>
      <c r="P67" s="7" t="str">
        <f>IF(HKI!$AS70&lt;4,"X","")</f>
        <v/>
      </c>
      <c r="Q67" s="7" t="str">
        <f>IF(HKI!$AW70&lt;4,"X","")</f>
        <v/>
      </c>
      <c r="R67" s="7" t="str">
        <f>IF(HKI!$BA70&lt;4,"X","")</f>
        <v/>
      </c>
      <c r="S67" s="106"/>
      <c r="T67" s="106"/>
      <c r="AW67" s="106"/>
      <c r="AX67" s="106"/>
      <c r="AY67" s="106"/>
      <c r="AZ67" s="106"/>
      <c r="BA67" s="106"/>
      <c r="BB67" s="106"/>
      <c r="BC67" s="106"/>
      <c r="BD67" s="106"/>
    </row>
    <row r="68" spans="1:56" ht="18" customHeight="1">
      <c r="A68" s="123" t="str">
        <f>IF(B68="","",SUBTOTAL(3,$B$8:B68))</f>
        <v/>
      </c>
      <c r="B68" s="215" t="str">
        <f>IF(HKI!$B71="","",HKI!B71)</f>
        <v/>
      </c>
      <c r="C68" s="216" t="str">
        <f>IF(HKI!$B71="","",HKI!C71)</f>
        <v/>
      </c>
      <c r="D68" s="218" t="str">
        <f>IF(HKI!$B71="","",HKI!D71)</f>
        <v/>
      </c>
      <c r="E68" s="207" t="str">
        <f t="shared" si="0"/>
        <v/>
      </c>
      <c r="F68" s="207" t="str">
        <f t="shared" si="1"/>
        <v/>
      </c>
      <c r="G68" s="7" t="str">
        <f>IF(HKI!$I71&lt;4,"X","")</f>
        <v/>
      </c>
      <c r="H68" s="7" t="str">
        <f>IF(HKI!$M71&lt;4,"X","")</f>
        <v/>
      </c>
      <c r="I68" s="7" t="str">
        <f>IF(HKI!$Q71&lt;4,"X","")</f>
        <v/>
      </c>
      <c r="J68" s="7" t="str">
        <f>IF(HKI!$U71&lt;4,"X","")</f>
        <v/>
      </c>
      <c r="K68" s="7" t="str">
        <f>IF(HKI!$Y71&lt;4,"X","")</f>
        <v/>
      </c>
      <c r="L68" s="7" t="str">
        <f>IF(HKI!$AC71&lt;4,"X","")</f>
        <v/>
      </c>
      <c r="M68" s="7" t="str">
        <f>IF(HKI!$AG71&lt;4,"X","")</f>
        <v/>
      </c>
      <c r="N68" s="7" t="str">
        <f>IF(HKI!$AK71&lt;4,"X","")</f>
        <v/>
      </c>
      <c r="O68" s="7" t="str">
        <f>IF(HKI!$AO71&lt;4,"X","")</f>
        <v/>
      </c>
      <c r="P68" s="7" t="str">
        <f>IF(HKI!$AS71&lt;4,"X","")</f>
        <v/>
      </c>
      <c r="Q68" s="7" t="str">
        <f>IF(HKI!$AW71&lt;4,"X","")</f>
        <v/>
      </c>
      <c r="R68" s="7" t="str">
        <f>IF(HKI!$BA71&lt;4,"X","")</f>
        <v/>
      </c>
      <c r="S68" s="106"/>
      <c r="T68" s="106"/>
      <c r="AW68" s="106"/>
      <c r="AX68" s="106"/>
      <c r="AY68" s="106"/>
      <c r="AZ68" s="106"/>
      <c r="BA68" s="106"/>
      <c r="BB68" s="106"/>
      <c r="BC68" s="106"/>
      <c r="BD68" s="106"/>
    </row>
    <row r="69" spans="1:56" ht="18" customHeight="1">
      <c r="A69" s="123" t="str">
        <f>IF(B69="","",SUBTOTAL(3,$B$8:B69))</f>
        <v/>
      </c>
      <c r="B69" s="215" t="str">
        <f>IF(HKI!$B72="","",HKI!B72)</f>
        <v/>
      </c>
      <c r="C69" s="216" t="str">
        <f>IF(HKI!$B72="","",HKI!C72)</f>
        <v/>
      </c>
      <c r="D69" s="218" t="str">
        <f>IF(HKI!$B72="","",HKI!D72)</f>
        <v/>
      </c>
      <c r="E69" s="207" t="str">
        <f t="shared" si="0"/>
        <v/>
      </c>
      <c r="F69" s="207" t="str">
        <f t="shared" si="1"/>
        <v/>
      </c>
      <c r="G69" s="7" t="str">
        <f>IF(HKI!$I72&lt;4,"X","")</f>
        <v/>
      </c>
      <c r="H69" s="7" t="str">
        <f>IF(HKI!$M72&lt;4,"X","")</f>
        <v/>
      </c>
      <c r="I69" s="7" t="str">
        <f>IF(HKI!$Q72&lt;4,"X","")</f>
        <v/>
      </c>
      <c r="J69" s="7" t="str">
        <f>IF(HKI!$U72&lt;4,"X","")</f>
        <v/>
      </c>
      <c r="K69" s="7" t="str">
        <f>IF(HKI!$Y72&lt;4,"X","")</f>
        <v/>
      </c>
      <c r="L69" s="7" t="str">
        <f>IF(HKI!$AC72&lt;4,"X","")</f>
        <v/>
      </c>
      <c r="M69" s="7" t="str">
        <f>IF(HKI!$AG72&lt;4,"X","")</f>
        <v/>
      </c>
      <c r="N69" s="7" t="str">
        <f>IF(HKI!$AK72&lt;4,"X","")</f>
        <v/>
      </c>
      <c r="O69" s="7" t="str">
        <f>IF(HKI!$AO72&lt;4,"X","")</f>
        <v/>
      </c>
      <c r="P69" s="7" t="str">
        <f>IF(HKI!$AS72&lt;4,"X","")</f>
        <v/>
      </c>
      <c r="Q69" s="7" t="str">
        <f>IF(HKI!$AW72&lt;4,"X","")</f>
        <v/>
      </c>
      <c r="R69" s="7" t="str">
        <f>IF(HKI!$BA72&lt;4,"X","")</f>
        <v/>
      </c>
      <c r="S69" s="106"/>
      <c r="T69" s="106"/>
      <c r="AW69" s="106"/>
      <c r="AX69" s="106"/>
      <c r="AY69" s="106"/>
      <c r="AZ69" s="106"/>
      <c r="BA69" s="106"/>
      <c r="BB69" s="106"/>
      <c r="BC69" s="106"/>
      <c r="BD69" s="106"/>
    </row>
    <row r="70" spans="1:56" ht="18" customHeight="1">
      <c r="A70" s="123"/>
      <c r="B70" s="215"/>
      <c r="C70" s="216"/>
      <c r="D70" s="218"/>
      <c r="E70" s="207" t="str">
        <f t="shared" si="0"/>
        <v/>
      </c>
      <c r="F70" s="207" t="str">
        <f t="shared" si="1"/>
        <v/>
      </c>
      <c r="G70" s="7" t="str">
        <f>IF(HKI!$I73&lt;4,"X","")</f>
        <v/>
      </c>
      <c r="H70" s="7" t="str">
        <f>IF(HKI!$M73&lt;4,"X","")</f>
        <v/>
      </c>
      <c r="I70" s="7" t="str">
        <f>IF(HKI!$Q73&lt;4,"X","")</f>
        <v/>
      </c>
      <c r="J70" s="7" t="str">
        <f>IF(HKI!$U73&lt;4,"X","")</f>
        <v/>
      </c>
      <c r="K70" s="7" t="str">
        <f>IF(HKI!$Y73&lt;4,"X","")</f>
        <v/>
      </c>
      <c r="L70" s="7" t="str">
        <f>IF(HKI!$AC73&lt;4,"X","")</f>
        <v/>
      </c>
      <c r="M70" s="7" t="str">
        <f>IF(HKI!$AG73&lt;4,"X","")</f>
        <v/>
      </c>
      <c r="N70" s="7" t="str">
        <f>IF(HKI!$AK73&lt;4,"X","")</f>
        <v/>
      </c>
      <c r="O70" s="7" t="str">
        <f>IF(HKI!$AO73&lt;4,"X","")</f>
        <v/>
      </c>
      <c r="P70" s="7" t="str">
        <f>IF(HKI!$AS73&lt;4,"X","")</f>
        <v/>
      </c>
      <c r="Q70" s="7" t="str">
        <f>IF(HKI!$AW73&lt;4,"X","")</f>
        <v/>
      </c>
      <c r="R70" s="7" t="str">
        <f>IF(HKI!$BA73&lt;4,"X","")</f>
        <v/>
      </c>
      <c r="S70" s="106"/>
      <c r="T70" s="106"/>
      <c r="AW70" s="106"/>
      <c r="AX70" s="106"/>
      <c r="AY70" s="106"/>
      <c r="AZ70" s="106"/>
      <c r="BA70" s="106"/>
      <c r="BB70" s="106"/>
      <c r="BC70" s="106"/>
      <c r="BD70" s="106"/>
    </row>
    <row r="71" spans="1:56" ht="18" customHeight="1">
      <c r="A71" s="123"/>
      <c r="B71" s="215"/>
      <c r="C71" s="216"/>
      <c r="D71" s="218"/>
      <c r="E71" s="207" t="str">
        <f t="shared" si="0"/>
        <v/>
      </c>
      <c r="F71" s="207" t="str">
        <f t="shared" si="1"/>
        <v/>
      </c>
      <c r="G71" s="7" t="str">
        <f>IF(HKI!$I74&lt;4,"X","")</f>
        <v/>
      </c>
      <c r="H71" s="7" t="str">
        <f>IF(HKI!$M74&lt;4,"X","")</f>
        <v/>
      </c>
      <c r="I71" s="7" t="str">
        <f>IF(HKI!$Q74&lt;4,"X","")</f>
        <v/>
      </c>
      <c r="J71" s="7" t="str">
        <f>IF(HKI!$U74&lt;4,"X","")</f>
        <v/>
      </c>
      <c r="K71" s="7" t="str">
        <f>IF(HKI!$Y74&lt;4,"X","")</f>
        <v/>
      </c>
      <c r="L71" s="7" t="str">
        <f>IF(HKI!$AC74&lt;4,"X","")</f>
        <v/>
      </c>
      <c r="M71" s="7" t="str">
        <f>IF(HKI!$AG74&lt;4,"X","")</f>
        <v/>
      </c>
      <c r="N71" s="7" t="str">
        <f>IF(HKI!$AK74&lt;4,"X","")</f>
        <v/>
      </c>
      <c r="O71" s="7" t="str">
        <f>IF(HKI!$AO74&lt;4,"X","")</f>
        <v/>
      </c>
      <c r="P71" s="7" t="str">
        <f>IF(HKI!$AS74&lt;4,"X","")</f>
        <v/>
      </c>
      <c r="Q71" s="7" t="str">
        <f>IF(HKI!$AW74&lt;4,"X","")</f>
        <v/>
      </c>
      <c r="R71" s="7" t="str">
        <f>IF(HKI!$BA74&lt;4,"X","")</f>
        <v/>
      </c>
      <c r="S71" s="106"/>
      <c r="T71" s="106"/>
      <c r="AW71" s="106"/>
      <c r="AX71" s="106"/>
      <c r="AY71" s="106"/>
      <c r="AZ71" s="106"/>
      <c r="BA71" s="106"/>
      <c r="BB71" s="106"/>
      <c r="BC71" s="106"/>
      <c r="BD71" s="106"/>
    </row>
    <row r="72" spans="1:56" ht="18" customHeight="1">
      <c r="A72" s="123"/>
      <c r="B72" s="215"/>
      <c r="C72" s="216"/>
      <c r="D72" s="218"/>
      <c r="E72" s="207" t="str">
        <f t="shared" si="0"/>
        <v/>
      </c>
      <c r="F72" s="207" t="str">
        <f t="shared" si="1"/>
        <v/>
      </c>
      <c r="G72" s="7" t="str">
        <f>IF(HKI!$I75&lt;4,"X","")</f>
        <v/>
      </c>
      <c r="H72" s="7" t="str">
        <f>IF(HKI!$M75&lt;4,"X","")</f>
        <v/>
      </c>
      <c r="I72" s="7" t="str">
        <f>IF(HKI!$Q75&lt;4,"X","")</f>
        <v/>
      </c>
      <c r="J72" s="7" t="str">
        <f>IF(HKI!$U75&lt;4,"X","")</f>
        <v/>
      </c>
      <c r="K72" s="7" t="str">
        <f>IF(HKI!$Y75&lt;4,"X","")</f>
        <v/>
      </c>
      <c r="L72" s="7" t="str">
        <f>IF(HKI!$AC75&lt;4,"X","")</f>
        <v/>
      </c>
      <c r="M72" s="7" t="str">
        <f>IF(HKI!$AG75&lt;4,"X","")</f>
        <v/>
      </c>
      <c r="N72" s="7" t="str">
        <f>IF(HKI!$AK75&lt;4,"X","")</f>
        <v/>
      </c>
      <c r="O72" s="7" t="str">
        <f>IF(HKI!$AO75&lt;4,"X","")</f>
        <v/>
      </c>
      <c r="P72" s="7" t="str">
        <f>IF(HKI!$AS75&lt;4,"X","")</f>
        <v/>
      </c>
      <c r="Q72" s="7" t="str">
        <f>IF(HKI!$AW75&lt;4,"X","")</f>
        <v/>
      </c>
      <c r="R72" s="7" t="str">
        <f>IF(HKI!$BA75&lt;4,"X","")</f>
        <v/>
      </c>
      <c r="S72" s="106"/>
      <c r="T72" s="106"/>
      <c r="AW72" s="106"/>
      <c r="AX72" s="106"/>
      <c r="AY72" s="106"/>
      <c r="AZ72" s="106"/>
      <c r="BA72" s="106"/>
      <c r="BB72" s="106"/>
      <c r="BC72" s="106"/>
      <c r="BD72" s="106"/>
    </row>
    <row r="73" spans="1:56" ht="18" customHeight="1">
      <c r="A73" s="123"/>
      <c r="B73" s="215"/>
      <c r="C73" s="216"/>
      <c r="D73" s="218"/>
      <c r="E73" s="207" t="str">
        <f>IF(COUNTIF($G73:$R73,"X")&gt;0,COUNTIF($G73:$R73,"X"),"")</f>
        <v/>
      </c>
      <c r="F73" s="207" t="str">
        <f>IF(COUNTIF($G73:$R73,"X")=0,"",SUMIF($G73:$R73,"X",$G$7:$R$7))</f>
        <v/>
      </c>
      <c r="G73" s="7" t="str">
        <f>IF(HKI!$I76&lt;4,"X","")</f>
        <v/>
      </c>
      <c r="H73" s="7" t="str">
        <f>IF(HKI!$M76&lt;4,"X","")</f>
        <v/>
      </c>
      <c r="I73" s="7" t="str">
        <f>IF(HKI!$Q76&lt;4,"X","")</f>
        <v/>
      </c>
      <c r="J73" s="7" t="str">
        <f>IF(HKI!$U76&lt;4,"X","")</f>
        <v/>
      </c>
      <c r="K73" s="7" t="str">
        <f>IF(HKI!$Y76&lt;4,"X","")</f>
        <v/>
      </c>
      <c r="L73" s="7" t="str">
        <f>IF(HKI!$AC76&lt;4,"X","")</f>
        <v/>
      </c>
      <c r="M73" s="7" t="str">
        <f>IF(HKI!$AG76&lt;4,"X","")</f>
        <v/>
      </c>
      <c r="N73" s="7" t="str">
        <f>IF(HKI!$AK76&lt;4,"X","")</f>
        <v/>
      </c>
      <c r="O73" s="7" t="str">
        <f>IF(HKI!$AO76&lt;4,"X","")</f>
        <v/>
      </c>
      <c r="P73" s="7" t="str">
        <f>IF(HKI!$AS76&lt;4,"X","")</f>
        <v/>
      </c>
      <c r="Q73" s="7" t="str">
        <f>IF(HKI!$AW76&lt;4,"X","")</f>
        <v/>
      </c>
      <c r="R73" s="7" t="str">
        <f>IF(HKI!$BA76&lt;4,"X","")</f>
        <v/>
      </c>
      <c r="S73" s="106"/>
      <c r="T73" s="106"/>
      <c r="AW73" s="106"/>
      <c r="AX73" s="106"/>
      <c r="AY73" s="106"/>
      <c r="AZ73" s="106"/>
      <c r="BA73" s="106"/>
      <c r="BB73" s="106"/>
      <c r="BC73" s="106"/>
      <c r="BD73" s="106"/>
    </row>
    <row r="74" spans="1:56" ht="18" customHeight="1">
      <c r="A74" s="123" t="str">
        <f>IF(B74="","",SUBTOTAL(3,$B$8:B74))</f>
        <v/>
      </c>
      <c r="B74" s="215" t="str">
        <f>IF(HKI!$B77="","",HKI!B77)</f>
        <v/>
      </c>
      <c r="C74" s="216" t="str">
        <f>IF(HKI!$B77="","",HKI!C77)</f>
        <v/>
      </c>
      <c r="D74" s="218" t="str">
        <f>IF(HKI!$B77="","",HKI!D77)</f>
        <v/>
      </c>
      <c r="E74" s="207" t="str">
        <f>IF(COUNTIF($G74:$R74,"X")&gt;0,COUNTIF($G74:$R74,"X"),"")</f>
        <v/>
      </c>
      <c r="F74" s="207" t="str">
        <f>IF(COUNTIF($G74:$R74,"X")=0,"",SUMIF($G74:$R74,"X",$G$7:$R$7))</f>
        <v/>
      </c>
      <c r="G74" s="7" t="str">
        <f>IF(HKI!$I77&lt;4,"X","")</f>
        <v/>
      </c>
      <c r="H74" s="7" t="str">
        <f>IF(HKI!$M77&lt;4,"X","")</f>
        <v/>
      </c>
      <c r="I74" s="7" t="str">
        <f>IF(HKI!$Q77&lt;4,"X","")</f>
        <v/>
      </c>
      <c r="J74" s="7" t="str">
        <f>IF(HKI!$U77&lt;4,"X","")</f>
        <v/>
      </c>
      <c r="K74" s="7" t="str">
        <f>IF(HKI!$Y77&lt;4,"X","")</f>
        <v/>
      </c>
      <c r="L74" s="7" t="str">
        <f>IF(HKI!$AC77&lt;4,"X","")</f>
        <v/>
      </c>
      <c r="M74" s="7" t="str">
        <f>IF(HKI!$AG77&lt;4,"X","")</f>
        <v/>
      </c>
      <c r="N74" s="7" t="str">
        <f>IF(HKI!$AK77&lt;4,"X","")</f>
        <v/>
      </c>
      <c r="O74" s="7" t="str">
        <f>IF(HKI!$AO77&lt;4,"X","")</f>
        <v/>
      </c>
      <c r="P74" s="7" t="str">
        <f>IF(HKI!$AS77&lt;4,"X","")</f>
        <v/>
      </c>
      <c r="Q74" s="7" t="str">
        <f>IF(HKI!$AW77&lt;4,"X","")</f>
        <v/>
      </c>
      <c r="R74" s="7" t="str">
        <f>IF(HKI!$BA77&lt;4,"X","")</f>
        <v/>
      </c>
      <c r="S74" s="106"/>
      <c r="T74" s="106"/>
      <c r="AW74" s="106"/>
      <c r="AX74" s="106"/>
      <c r="AY74" s="106"/>
      <c r="AZ74" s="106"/>
      <c r="BA74" s="106"/>
      <c r="BB74" s="106"/>
      <c r="BC74" s="106"/>
      <c r="BD74" s="106"/>
    </row>
    <row r="75" spans="1:56" ht="18" customHeight="1">
      <c r="A75" s="123" t="str">
        <f>IF(B75="","",SUBTOTAL(3,$B$8:B75))</f>
        <v/>
      </c>
      <c r="B75" s="215" t="str">
        <f>IF(HKI!$B78="","",HKI!B78)</f>
        <v/>
      </c>
      <c r="C75" s="216" t="str">
        <f>IF(HKI!$B78="","",HKI!C78)</f>
        <v/>
      </c>
      <c r="D75" s="218" t="str">
        <f>IF(HKI!$B78="","",HKI!D78)</f>
        <v/>
      </c>
      <c r="E75" s="207" t="str">
        <f>IF(COUNTIF($G75:$R75,"X")&gt;0,COUNTIF($G75:$R75,"X"),"")</f>
        <v/>
      </c>
      <c r="F75" s="207" t="str">
        <f>IF(COUNTIF($G75:$R75,"X")=0,"",SUMIF($G75:$R75,"X",$G$7:$R$7))</f>
        <v/>
      </c>
      <c r="G75" s="7" t="str">
        <f>IF(HKI!$I78&lt;4,"X","")</f>
        <v/>
      </c>
      <c r="H75" s="7" t="str">
        <f>IF(HKI!$M78&lt;4,"X","")</f>
        <v/>
      </c>
      <c r="I75" s="7" t="str">
        <f>IF(HKI!$Q78&lt;4,"X","")</f>
        <v/>
      </c>
      <c r="J75" s="7" t="str">
        <f>IF(HKI!$U78&lt;4,"X","")</f>
        <v/>
      </c>
      <c r="K75" s="7" t="str">
        <f>IF(HKI!$Y78&lt;4,"X","")</f>
        <v/>
      </c>
      <c r="L75" s="7" t="str">
        <f>IF(HKI!$AC78&lt;4,"X","")</f>
        <v/>
      </c>
      <c r="M75" s="7" t="str">
        <f>IF(HKI!$AG78&lt;4,"X","")</f>
        <v/>
      </c>
      <c r="N75" s="7" t="str">
        <f>IF(HKI!$AK78&lt;4,"X","")</f>
        <v/>
      </c>
      <c r="O75" s="7" t="str">
        <f>IF(HKI!$AO78&lt;4,"X","")</f>
        <v/>
      </c>
      <c r="P75" s="7" t="str">
        <f>IF(HKI!$AS78&lt;4,"X","")</f>
        <v/>
      </c>
      <c r="Q75" s="7" t="str">
        <f>IF(HKI!$AW78&lt;4,"X","")</f>
        <v/>
      </c>
      <c r="R75" s="7" t="str">
        <f>IF(HKI!$BA78&lt;4,"X","")</f>
        <v/>
      </c>
      <c r="S75" s="106"/>
      <c r="T75" s="106"/>
      <c r="AW75" s="106"/>
      <c r="AX75" s="106"/>
      <c r="AY75" s="106"/>
      <c r="AZ75" s="106"/>
      <c r="BA75" s="106"/>
      <c r="BB75" s="106"/>
      <c r="BC75" s="106"/>
      <c r="BD75" s="106"/>
    </row>
    <row r="76" spans="1:56" ht="18" customHeight="1">
      <c r="A76" s="123"/>
      <c r="B76" s="215"/>
      <c r="C76" s="216"/>
      <c r="D76" s="218"/>
      <c r="E76" s="207" t="str">
        <f>IF(COUNTIF($G76:$R76,"X")&gt;0,COUNTIF($G76:$R76,"X"),"")</f>
        <v/>
      </c>
      <c r="F76" s="207" t="str">
        <f>IF(COUNTIF($G76:$R76,"X")=0,"",SUMIF($G76:$R76,"X",$G$7:$R$7))</f>
        <v/>
      </c>
      <c r="G76" s="7" t="str">
        <f>IF(HKI!$I79&lt;4,"X","")</f>
        <v/>
      </c>
      <c r="H76" s="7" t="str">
        <f>IF(HKI!$M79&lt;4,"X","")</f>
        <v/>
      </c>
      <c r="I76" s="7" t="str">
        <f>IF(HKI!$Q79&lt;4,"X","")</f>
        <v/>
      </c>
      <c r="J76" s="7" t="str">
        <f>IF(HKI!$U79&lt;4,"X","")</f>
        <v/>
      </c>
      <c r="K76" s="7" t="str">
        <f>IF(HKI!$Y79&lt;4,"X","")</f>
        <v/>
      </c>
      <c r="L76" s="7" t="str">
        <f>IF(HKI!$AC79&lt;4,"X","")</f>
        <v/>
      </c>
      <c r="M76" s="7" t="str">
        <f>IF(HKI!$AG79&lt;4,"X","")</f>
        <v/>
      </c>
      <c r="N76" s="7" t="str">
        <f>IF(HKI!$AK79&lt;4,"X","")</f>
        <v/>
      </c>
      <c r="O76" s="7" t="str">
        <f>IF(HKI!$AO79&lt;4,"X","")</f>
        <v/>
      </c>
      <c r="P76" s="7" t="str">
        <f>IF(HKI!$AS79&lt;4,"X","")</f>
        <v/>
      </c>
      <c r="Q76" s="7" t="str">
        <f>IF(HKI!$AW79&lt;4,"X","")</f>
        <v/>
      </c>
      <c r="R76" s="7" t="str">
        <f>IF(HKI!$BA79&lt;4,"X","")</f>
        <v/>
      </c>
      <c r="S76" s="106"/>
      <c r="T76" s="106"/>
      <c r="AW76" s="106"/>
      <c r="AX76" s="106"/>
      <c r="AY76" s="106"/>
      <c r="AZ76" s="106"/>
      <c r="BA76" s="106"/>
      <c r="BB76" s="106"/>
      <c r="BC76" s="106"/>
      <c r="BD76" s="106"/>
    </row>
    <row r="77" spans="1:56" ht="18" customHeight="1">
      <c r="A77" s="123" t="str">
        <f>IF(B77="","",SUBTOTAL(3,$B$8:B77))</f>
        <v/>
      </c>
      <c r="B77" s="215" t="str">
        <f>IF(HKI!$B80="","",HKI!B80)</f>
        <v/>
      </c>
      <c r="C77" s="217" t="str">
        <f>IF(HKI!$B80="","",HKI!C80)</f>
        <v/>
      </c>
      <c r="D77" s="219" t="str">
        <f>IF(HKI!$B80="","",HKI!D80)</f>
        <v/>
      </c>
      <c r="E77" s="207" t="str">
        <f>IF(COUNTIF($G77:$R77,"X")&gt;0,COUNTIF($G77:$R77,"X"),"")</f>
        <v/>
      </c>
      <c r="F77" s="207" t="str">
        <f>IF(COUNTIF($G77:$R77,"X")=0,"",SUMIF($G77:$R77,"X",$G$7:$R$7))</f>
        <v/>
      </c>
      <c r="G77" s="7" t="str">
        <f>IF(HKI!$I80&lt;4,"X","")</f>
        <v/>
      </c>
      <c r="H77" s="7" t="str">
        <f>IF(HKI!$M80&lt;4,"X","")</f>
        <v/>
      </c>
      <c r="I77" s="7" t="str">
        <f>IF(HKI!$Q80&lt;4,"X","")</f>
        <v/>
      </c>
      <c r="J77" s="7" t="str">
        <f>IF(HKI!$U80&lt;4,"X","")</f>
        <v/>
      </c>
      <c r="K77" s="7" t="str">
        <f>IF(HKI!$Y80&lt;4,"X","")</f>
        <v/>
      </c>
      <c r="L77" s="7" t="str">
        <f>IF(HKI!$AC80&lt;4,"X","")</f>
        <v/>
      </c>
      <c r="M77" s="7" t="str">
        <f>IF(HKI!$AG80&lt;4,"X","")</f>
        <v/>
      </c>
      <c r="N77" s="7" t="str">
        <f>IF(HKI!$AK80&lt;4,"X","")</f>
        <v/>
      </c>
      <c r="O77" s="7" t="str">
        <f>IF(HKI!$AO80&lt;4,"X","")</f>
        <v/>
      </c>
      <c r="P77" s="7" t="str">
        <f>IF(HKI!$AS80&lt;4,"X","")</f>
        <v/>
      </c>
      <c r="Q77" s="7" t="str">
        <f>IF(HKI!$AW80&lt;4,"X","")</f>
        <v/>
      </c>
      <c r="R77" s="7" t="str">
        <f>IF(HKI!$BA80&lt;4,"X","")</f>
        <v/>
      </c>
      <c r="S77" s="106"/>
      <c r="T77" s="106"/>
      <c r="AW77" s="106"/>
      <c r="AX77" s="106"/>
      <c r="AY77" s="106"/>
      <c r="AZ77" s="106"/>
      <c r="BA77" s="106"/>
      <c r="BB77" s="106"/>
      <c r="BC77" s="106"/>
      <c r="BD77" s="106"/>
    </row>
    <row r="78" spans="1:56" ht="18" customHeight="1">
      <c r="A78" s="701" t="s">
        <v>299</v>
      </c>
      <c r="B78" s="702"/>
      <c r="C78" s="702"/>
      <c r="D78" s="702"/>
      <c r="E78" s="702"/>
      <c r="F78" s="703"/>
      <c r="G78" s="99">
        <f>COUNTIF($G8:$G77,"X")</f>
        <v>5</v>
      </c>
      <c r="H78" s="99">
        <f>COUNTIF($H8:$H77,"X")</f>
        <v>5</v>
      </c>
      <c r="I78" s="99">
        <f>COUNTIF($I8:$I77,"X")</f>
        <v>7</v>
      </c>
      <c r="J78" s="99">
        <f>COUNTIF($J8:$J77,"X")</f>
        <v>5</v>
      </c>
      <c r="K78" s="99">
        <f>COUNTIF($K8:$K77,"X")</f>
        <v>24</v>
      </c>
      <c r="L78" s="99">
        <f>COUNTIF($L8:$L77,"X")</f>
        <v>0</v>
      </c>
      <c r="M78" s="99">
        <f>COUNTIF($M8:$M77,"X")</f>
        <v>0</v>
      </c>
      <c r="N78" s="99">
        <f>COUNTIF($N8:$N77,"X")</f>
        <v>0</v>
      </c>
      <c r="O78" s="99">
        <f>COUNTIF($O8:$O77,"X")</f>
        <v>0</v>
      </c>
      <c r="P78" s="99">
        <f>COUNTIF($P8:$P77,"X")</f>
        <v>5</v>
      </c>
      <c r="Q78" s="99">
        <f>COUNTIF($Q8:$Q77,"X")</f>
        <v>9</v>
      </c>
      <c r="R78" s="99">
        <f>COUNTIF($R8:$R77,"X")</f>
        <v>5</v>
      </c>
      <c r="S78" s="117"/>
      <c r="T78" s="117"/>
      <c r="U78" s="117"/>
    </row>
    <row r="79" spans="1:56" ht="18" customHeight="1"/>
    <row r="80" spans="1:56" ht="18" customHeight="1"/>
    <row r="81" ht="18" customHeight="1"/>
    <row r="82" ht="18" customHeight="1"/>
    <row r="83" ht="18" customHeight="1"/>
    <row r="84" ht="18" customHeight="1"/>
    <row r="85" ht="18" customHeight="1"/>
    <row r="86" ht="18" customHeight="1"/>
  </sheetData>
  <sheetProtection formatCells="0" formatColumns="0" formatRows="0" autoFilter="0"/>
  <mergeCells count="9">
    <mergeCell ref="A1:I1"/>
    <mergeCell ref="I5:J5"/>
    <mergeCell ref="A4:R4"/>
    <mergeCell ref="A78:F78"/>
    <mergeCell ref="C7:F7"/>
    <mergeCell ref="A2:I2"/>
    <mergeCell ref="E3:F3"/>
    <mergeCell ref="C6:D6"/>
    <mergeCell ref="G5:H5"/>
  </mergeCells>
  <phoneticPr fontId="9" type="noConversion"/>
  <printOptions horizontalCentered="1"/>
  <pageMargins left="0.25" right="0.25" top="0.25" bottom="0.5" header="0.25" footer="0.25"/>
  <pageSetup paperSize="9" scale="67"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6</vt:i4>
      </vt:variant>
    </vt:vector>
  </HeadingPairs>
  <TitlesOfParts>
    <vt:vector size="24" baseType="lpstr">
      <vt:lpstr>TEN HOC PHAN HKI</vt:lpstr>
      <vt:lpstr>LOP-MON</vt:lpstr>
      <vt:lpstr>Hướng dẫn</vt:lpstr>
      <vt:lpstr>DS LOP HKI</vt:lpstr>
      <vt:lpstr>HKI</vt:lpstr>
      <vt:lpstr>LT01</vt:lpstr>
      <vt:lpstr>LT02</vt:lpstr>
      <vt:lpstr>LT03</vt:lpstr>
      <vt:lpstr>LT04</vt:lpstr>
      <vt:lpstr>LT05</vt:lpstr>
      <vt:lpstr>LT06</vt:lpstr>
      <vt:lpstr>LT07</vt:lpstr>
      <vt:lpstr>DO AN</vt:lpstr>
      <vt:lpstr>DO AN 2</vt:lpstr>
      <vt:lpstr>TH01</vt:lpstr>
      <vt:lpstr>TH02</vt:lpstr>
      <vt:lpstr>TH03</vt:lpstr>
      <vt:lpstr>TK NỢ HP HKI</vt:lpstr>
      <vt:lpstr>'DO AN'!Print_Titles</vt:lpstr>
      <vt:lpstr>'DO AN 2'!Print_Titles</vt:lpstr>
      <vt:lpstr>'LT01'!Print_Titles</vt:lpstr>
      <vt:lpstr>'TH01'!Print_Titles</vt:lpstr>
      <vt:lpstr>'TH02'!Print_Titles</vt:lpstr>
      <vt:lpstr>'TH03'!Print_Titles</vt:lpstr>
    </vt:vector>
  </TitlesOfParts>
  <Company>Kiem Dinh</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 Phuoc Tuan</dc:creator>
  <cp:lastModifiedBy>PHAM MANH HA</cp:lastModifiedBy>
  <cp:lastPrinted>2015-12-31T00:32:29Z</cp:lastPrinted>
  <dcterms:created xsi:type="dcterms:W3CDTF">2013-11-25T08:47:36Z</dcterms:created>
  <dcterms:modified xsi:type="dcterms:W3CDTF">2016-01-30T08:18:12Z</dcterms:modified>
</cp:coreProperties>
</file>